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rine\CHEMINS ERRANTS\OBNL\Demandes de subventions\CALQ tournée 2019-2020\"/>
    </mc:Choice>
  </mc:AlternateContent>
  <xr:revisionPtr revIDLastSave="0" documentId="13_ncr:1_{D351C350-4D2C-4617-A21B-B387537CFBB2}" xr6:coauthVersionLast="43" xr6:coauthVersionMax="43" xr10:uidLastSave="{00000000-0000-0000-0000-000000000000}"/>
  <bookViews>
    <workbookView xWindow="-120" yWindow="-120" windowWidth="20730" windowHeight="11160" xr2:uid="{A13067A0-5C25-47F8-B9E9-C0790B8BE27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1" i="1" l="1"/>
  <c r="H242" i="1"/>
  <c r="D207" i="1"/>
  <c r="H240" i="1"/>
  <c r="D196" i="1"/>
  <c r="H243" i="1" l="1"/>
  <c r="I243" i="1" s="1"/>
  <c r="I244" i="1" s="1"/>
  <c r="E226" i="1" l="1"/>
  <c r="E232" i="1"/>
  <c r="E233" i="1" s="1"/>
  <c r="E216" i="1"/>
  <c r="E224" i="1"/>
  <c r="H185" i="1"/>
  <c r="H181" i="1"/>
  <c r="H180" i="1"/>
  <c r="H179" i="1"/>
  <c r="H178" i="1"/>
  <c r="H177" i="1"/>
  <c r="H173" i="1"/>
  <c r="H172" i="1"/>
  <c r="H171" i="1"/>
  <c r="G163" i="1"/>
  <c r="G164" i="1"/>
  <c r="H164" i="1"/>
  <c r="H163" i="1"/>
  <c r="H162" i="1"/>
  <c r="G157" i="1"/>
  <c r="H158" i="1"/>
  <c r="H157" i="1"/>
  <c r="H154" i="1"/>
  <c r="G154" i="1"/>
  <c r="H155" i="1"/>
  <c r="H153" i="1"/>
  <c r="H149" i="1"/>
  <c r="H148" i="1"/>
  <c r="H147" i="1"/>
  <c r="G147" i="1"/>
  <c r="G148" i="1"/>
  <c r="G149" i="1"/>
  <c r="H144" i="1"/>
  <c r="H145" i="1"/>
  <c r="G145" i="1"/>
  <c r="H142" i="1"/>
  <c r="H141" i="1"/>
  <c r="H140" i="1"/>
  <c r="G141" i="1"/>
  <c r="H138" i="1"/>
  <c r="H137" i="1"/>
  <c r="G137" i="1"/>
  <c r="H133" i="1"/>
  <c r="H132" i="1"/>
  <c r="G132" i="1"/>
  <c r="H129" i="1"/>
  <c r="G130" i="1"/>
  <c r="G128" i="1"/>
  <c r="H130" i="1"/>
  <c r="H128" i="1"/>
  <c r="H117" i="1"/>
  <c r="H118" i="1"/>
  <c r="F116" i="1"/>
  <c r="H116" i="1" s="1"/>
  <c r="H111" i="1"/>
  <c r="H108" i="1"/>
  <c r="F107" i="1"/>
  <c r="H107" i="1" s="1"/>
  <c r="F98" i="1"/>
  <c r="H98" i="1" s="1"/>
  <c r="H95" i="1"/>
  <c r="F94" i="1"/>
  <c r="H94" i="1" s="1"/>
  <c r="H92" i="1"/>
  <c r="F91" i="1"/>
  <c r="H91" i="1" s="1"/>
  <c r="H86" i="1"/>
  <c r="H83" i="1"/>
  <c r="H82" i="1"/>
  <c r="M71" i="1"/>
  <c r="N67" i="1"/>
  <c r="L67" i="1"/>
  <c r="I67" i="1"/>
  <c r="J67" i="1" s="1"/>
  <c r="H67" i="1"/>
  <c r="L62" i="1"/>
  <c r="J62" i="1"/>
  <c r="N63" i="1"/>
  <c r="N39" i="1"/>
  <c r="J65" i="1"/>
  <c r="J64" i="1"/>
  <c r="J63" i="1"/>
  <c r="N59" i="1"/>
  <c r="L59" i="1"/>
  <c r="K59" i="1"/>
  <c r="K47" i="1"/>
  <c r="J59" i="1"/>
  <c r="H59" i="1"/>
  <c r="N53" i="1"/>
  <c r="N50" i="1"/>
  <c r="N47" i="1"/>
  <c r="N44" i="1"/>
  <c r="N54" i="1"/>
  <c r="L53" i="1"/>
  <c r="J53" i="1"/>
  <c r="J54" i="1"/>
  <c r="J55" i="1"/>
  <c r="J56" i="1"/>
  <c r="J57" i="1"/>
  <c r="H53" i="1"/>
  <c r="N51" i="1"/>
  <c r="L50" i="1"/>
  <c r="J51" i="1"/>
  <c r="J50" i="1"/>
  <c r="H50" i="1"/>
  <c r="L47" i="1"/>
  <c r="J47" i="1"/>
  <c r="H47" i="1"/>
  <c r="N45" i="1"/>
  <c r="L44" i="1"/>
  <c r="J44" i="1"/>
  <c r="J45" i="1"/>
  <c r="H44" i="1"/>
  <c r="L39" i="1"/>
  <c r="H36" i="1"/>
  <c r="J40" i="1"/>
  <c r="J41" i="1"/>
  <c r="J42" i="1"/>
  <c r="J39" i="1"/>
  <c r="H39" i="1"/>
  <c r="N36" i="1"/>
  <c r="L36" i="1"/>
  <c r="K36" i="1"/>
  <c r="J36" i="1"/>
  <c r="H166" i="1" l="1"/>
  <c r="H187" i="1"/>
  <c r="H120" i="1"/>
  <c r="G166" i="1"/>
  <c r="L71" i="1"/>
  <c r="J71" i="1"/>
  <c r="N71" i="1"/>
  <c r="H71" i="1"/>
  <c r="K67" i="1"/>
</calcChain>
</file>

<file path=xl/sharedStrings.xml><?xml version="1.0" encoding="utf-8"?>
<sst xmlns="http://schemas.openxmlformats.org/spreadsheetml/2006/main" count="319" uniqueCount="176">
  <si>
    <t>ANNEXE AU BUDGET- DÉTAILS DES CALCULS</t>
  </si>
  <si>
    <t>Date</t>
  </si>
  <si>
    <t>Montréal</t>
  </si>
  <si>
    <t>Interprète</t>
  </si>
  <si>
    <t>Coût</t>
  </si>
  <si>
    <t>musicienne</t>
  </si>
  <si>
    <t>Lac-Mégantic</t>
  </si>
  <si>
    <t>TOTAL</t>
  </si>
  <si>
    <t>stationnement</t>
  </si>
  <si>
    <t>chorégraphe</t>
  </si>
  <si>
    <t>auteure</t>
  </si>
  <si>
    <t>CALCULS DES Droits de suite</t>
  </si>
  <si>
    <t>Pour la courte-forme de l'Écho de l'écume</t>
  </si>
  <si>
    <t>Pour l'Écho de l'écume</t>
  </si>
  <si>
    <t>compositeure</t>
  </si>
  <si>
    <t>éclairagiste</t>
  </si>
  <si>
    <t>46$/rep.</t>
  </si>
  <si>
    <t>100$/rep.</t>
  </si>
  <si>
    <t>40$/rep.</t>
  </si>
  <si>
    <t>22$/rep.</t>
  </si>
  <si>
    <t>scéno/costumes</t>
  </si>
  <si>
    <t xml:space="preserve">100$/rep. </t>
  </si>
  <si>
    <t>Destination</t>
  </si>
  <si>
    <t>Carburant</t>
  </si>
  <si>
    <t>Assurances</t>
  </si>
  <si>
    <t>Le U-Haul le plus près est à Lac-Mégantic.</t>
  </si>
  <si>
    <t>Voiture</t>
  </si>
  <si>
    <t>Production</t>
  </si>
  <si>
    <t>L'écho</t>
  </si>
  <si>
    <t>Distance A/R</t>
  </si>
  <si>
    <t>$ Kilométrage</t>
  </si>
  <si>
    <t>Personnel</t>
  </si>
  <si>
    <t>Indemnité km</t>
  </si>
  <si>
    <t>Pour les trajets non desservis par l'autobus, le kilométrage est remboursé à 0,43$/km</t>
  </si>
  <si>
    <t>autobus</t>
  </si>
  <si>
    <t>Calcul hébergement/perdiem</t>
  </si>
  <si>
    <t>Personnel en déplacement</t>
  </si>
  <si>
    <t>Repas en sus</t>
  </si>
  <si>
    <t>Repas additionnels pour les journes sans hébergement: déjeuner: 12$, dîner19$, souper 27$</t>
  </si>
  <si>
    <t>Musicienne</t>
  </si>
  <si>
    <t>Coût de location</t>
  </si>
  <si>
    <t>CALCULS des cachets et des salaires</t>
  </si>
  <si>
    <t>CALCULS LOCATION D'ÉQUIPEMENT ET DE MATÉRIEL</t>
  </si>
  <si>
    <t>Les coûts de matériel périssable (marche du spectacle) peuvent sembler élevés, mais il s'agit d'une proposition de peinture en direct.</t>
  </si>
  <si>
    <t>des toiles de protection, des canevas de peinture réutilisables et des costumes à chaque représentation.</t>
  </si>
  <si>
    <t>Cachet et salaire par représentation de la courte-forme</t>
  </si>
  <si>
    <t>Cachet et salaire par représentation du spectacle L'Écho de l'écume</t>
  </si>
  <si>
    <t>Montage</t>
  </si>
  <si>
    <t>Régisseur</t>
  </si>
  <si>
    <t>contribution de l'employeur UDA/TUEJ</t>
  </si>
  <si>
    <t>FRAIS D'ADMINISTRATION</t>
  </si>
  <si>
    <t>Direction de tournée</t>
  </si>
  <si>
    <t>Honoraires gestion</t>
  </si>
  <si>
    <t>Honoraires comptable</t>
  </si>
  <si>
    <t>Frais de poste &amp; messagerie</t>
  </si>
  <si>
    <t>Frais bancaires</t>
  </si>
  <si>
    <t>Location de logiciel comptable</t>
  </si>
  <si>
    <t>Hébergement du site internet</t>
  </si>
  <si>
    <t>75$/représentation (courte-forme &amp; L'écho de l'écume)</t>
  </si>
  <si>
    <t>Contractuel Load/deload</t>
  </si>
  <si>
    <t>Machiniste pour nettoyage</t>
  </si>
  <si>
    <t>L'entrepôt de la cie est situé à St-Romain</t>
  </si>
  <si>
    <t>Pour les courtes-formes</t>
  </si>
  <si>
    <t>Le tranport se fait avec une voiture et une location de remorque 8'.</t>
  </si>
  <si>
    <t>Pour le spectacle L'Écho de l'écume</t>
  </si>
  <si>
    <t>La musicienne habite St-Romain, la comédienne habite Montréal</t>
  </si>
  <si>
    <t>Le transport se fait avec location d'un camion 15'.</t>
  </si>
  <si>
    <t>La scénographie est entreposée au Théâtre Motus à Longueuil</t>
  </si>
  <si>
    <t>Il n'y pas pas de transport public entre St-Romain et Sherbrooke.</t>
  </si>
  <si>
    <t>DÉPLACEMENT DE LA SCÉNOGRAPHIE</t>
  </si>
  <si>
    <t>Moyen de transport</t>
  </si>
  <si>
    <t xml:space="preserve">L'écho </t>
  </si>
  <si>
    <t xml:space="preserve">Les frais de kilométrage en voiture sont calculés à 0,43$/km, sauf lorsqu'il y a remorque: 0,55$/km </t>
  </si>
  <si>
    <t>Itinéraire</t>
  </si>
  <si>
    <t>Longueuil-</t>
  </si>
  <si>
    <t>Le coût de location de la remorque est de 25$/jour</t>
  </si>
  <si>
    <t>L'assurance est de 15$/jour</t>
  </si>
  <si>
    <t>Le carburant est calculé à 1,30$/litre, consommation 24 litres / 100 km</t>
  </si>
  <si>
    <t>Frais de conduite</t>
  </si>
  <si>
    <t>TOURNÉE QUÉBEC 2019-2020</t>
  </si>
  <si>
    <t>DÉPLACEMENT DE LA SCÉNOGRAPHIE - NOTES EXPLICATIVES</t>
  </si>
  <si>
    <t>Location de camion 15'</t>
  </si>
  <si>
    <t>location de remorque</t>
  </si>
  <si>
    <t>Nb Jours location</t>
  </si>
  <si>
    <t>26/09/2019 au</t>
  </si>
  <si>
    <t>06/10/2019 au</t>
  </si>
  <si>
    <t>Courte-forme B</t>
  </si>
  <si>
    <t>Productions:</t>
  </si>
  <si>
    <t>L'écho de l'écume</t>
  </si>
  <si>
    <t>Courte-forme A: courte-forme de l'Écho de l'écume</t>
  </si>
  <si>
    <t>Courte-forme B: courte-forme Monsieur Bine</t>
  </si>
  <si>
    <t>St-Romain-Lambton</t>
  </si>
  <si>
    <t>St-Romain-St-Ludger</t>
  </si>
  <si>
    <t>St-Romain- NDB</t>
  </si>
  <si>
    <t>St-Romain/Mégantic x 2</t>
  </si>
  <si>
    <t>La location du camion est de 30$/jour + 0,70$/km + assurances+ carburant</t>
  </si>
  <si>
    <t>Les frais d'assurances sont de 10$/jour</t>
  </si>
  <si>
    <t>Frais de conduite par le régisseur: 25$/heure</t>
  </si>
  <si>
    <t xml:space="preserve">14/10/2019 au </t>
  </si>
  <si>
    <t>Courte-forme A</t>
  </si>
  <si>
    <t>L'Écho</t>
  </si>
  <si>
    <t>Longueuil-Lasalle</t>
  </si>
  <si>
    <t>13/11/2019 au</t>
  </si>
  <si>
    <t>St-Romain/Pointe-Claire</t>
  </si>
  <si>
    <t>17/11/2019 au</t>
  </si>
  <si>
    <t>St-Romain La Pocatière</t>
  </si>
  <si>
    <t>La Pocatière/St-Denis</t>
  </si>
  <si>
    <t>La Pocatière-St-Alexandre x 2 jours</t>
  </si>
  <si>
    <t>La Pocatière-St Pascal x 2 jours</t>
  </si>
  <si>
    <t>20/01/2020 au</t>
  </si>
  <si>
    <t>Location camion 15'</t>
  </si>
  <si>
    <t>Pointe-aux-Trembles</t>
  </si>
  <si>
    <t>09/02/2020 au</t>
  </si>
  <si>
    <t>L'assomption</t>
  </si>
  <si>
    <t>x2 A/R</t>
  </si>
  <si>
    <t>St-Romain/Mégantic x 2 A/R</t>
  </si>
  <si>
    <t>TRANSPORT DU PERSONNEL - NOTES EXPLICATIVES</t>
  </si>
  <si>
    <t>La comédienne voyage de Montréal.</t>
  </si>
  <si>
    <t>La musicienne voyage de St-Romain</t>
  </si>
  <si>
    <t>Le DT/ régisseur ne sont pas présents lors de la courte-forme, sauf pour la tournée à La Pocatière.</t>
  </si>
  <si>
    <t>Lambton</t>
  </si>
  <si>
    <t>St-Ludger</t>
  </si>
  <si>
    <t>Notre-Dame-des-Bois</t>
  </si>
  <si>
    <t>Lasalle</t>
  </si>
  <si>
    <t>Pointe-Claire</t>
  </si>
  <si>
    <t>La Pocatière</t>
  </si>
  <si>
    <t>St-Alexandre</t>
  </si>
  <si>
    <t>St-Pascal</t>
  </si>
  <si>
    <t>St-Denis</t>
  </si>
  <si>
    <t>L'Assomption</t>
  </si>
  <si>
    <t>Comédienne</t>
  </si>
  <si>
    <t>voyage avec véhicule de la comédienne</t>
  </si>
  <si>
    <t>St-Romain-Rivière-des-Prairies</t>
  </si>
  <si>
    <t>2 A/R</t>
  </si>
  <si>
    <t>voyage avec scéno</t>
  </si>
  <si>
    <t>Tingwick-Longueil A/R</t>
  </si>
  <si>
    <t>5 A/R</t>
  </si>
  <si>
    <t>Nous avons 2 régisseurs, l'un à Montréal et l'autre à Tingwick, qui travaille en alternance, selon les territoires et les disponibilités.</t>
  </si>
  <si>
    <t>Indemnité hébergement /perdiem calculé selon tarif TUEJ 146$/jour.</t>
  </si>
  <si>
    <t>Nb de jours indemnité complète</t>
  </si>
  <si>
    <t>Rivière-des-Prairies</t>
  </si>
  <si>
    <t xml:space="preserve">10$/représentation </t>
  </si>
  <si>
    <t xml:space="preserve">15$/représentation </t>
  </si>
  <si>
    <t>Nb représentations</t>
  </si>
  <si>
    <t>Pour la courte-forme de l'Écho de Monsieur Bine</t>
  </si>
  <si>
    <t>Coûts</t>
  </si>
  <si>
    <t>ASSURANCES</t>
  </si>
  <si>
    <t>15% des revenus de cachets</t>
  </si>
  <si>
    <t>10% des revenus de cachets, répartis comme suit</t>
  </si>
  <si>
    <t>Conception outils promo</t>
  </si>
  <si>
    <t>Impressions</t>
  </si>
  <si>
    <t>(55 heures)</t>
  </si>
  <si>
    <t>Fonds de roulement de la cie, 2,5%</t>
  </si>
  <si>
    <t>(12 heures)</t>
  </si>
  <si>
    <t>Assurances responsabilité civile</t>
  </si>
  <si>
    <t>Vézina assurances</t>
  </si>
  <si>
    <t>au pro-rata du contrat annuel</t>
  </si>
  <si>
    <t>Assurances CNESST</t>
  </si>
  <si>
    <t>taux 1,53</t>
  </si>
  <si>
    <t>salaires estimés</t>
  </si>
  <si>
    <t>Total</t>
  </si>
  <si>
    <t>Courte-forme</t>
  </si>
  <si>
    <t>L'Écho de l'écume</t>
  </si>
  <si>
    <t>admin/promo</t>
  </si>
  <si>
    <t>total</t>
  </si>
  <si>
    <t>30 heures</t>
  </si>
  <si>
    <t>Comédienne et musicienne sont présentes lors des journées de montage de l'Écho de l'écume, les perdiem incluent donc la journée de montage lorsqu'applicable.</t>
  </si>
  <si>
    <t>Nous consommons une quantité non négligeable de peinture et papier, et nous devons assurer un nettoyage</t>
  </si>
  <si>
    <t>19/10/2019 au</t>
  </si>
  <si>
    <t>06/04/2020 au</t>
  </si>
  <si>
    <t xml:space="preserve">Montage/Nettoyage régisseur </t>
  </si>
  <si>
    <t>Frais d'agence</t>
  </si>
  <si>
    <t>PROMOTION / PUBLICITÉ / FRAIS D'AGENCE</t>
  </si>
  <si>
    <t>Demande en déplacement au CAC:</t>
  </si>
  <si>
    <t>et la tournée 2019-2020 en Ontario.  Le montant indiqué dans cette demande a été calculé au pro-rata des représentations visées dans cette demande.</t>
  </si>
  <si>
    <t>Une demande a été déposée U 2 MAI 2019 au Conseil des Arts du Canada pour deux projets de tournées combinés, soit le projet de tournée au Québec visée par la présente demande au CALQ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</si>
</sst>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/>
    <xf numFmtId="14" fontId="6" fillId="0" borderId="0" xfId="0" applyNumberFormat="1" applyFont="1"/>
    <xf numFmtId="0" fontId="2" fillId="3" borderId="0" xfId="0" applyFont="1" applyFill="1"/>
    <xf numFmtId="0" fontId="6" fillId="3" borderId="0" xfId="0" applyFont="1" applyFill="1"/>
    <xf numFmtId="0" fontId="1" fillId="3" borderId="0" xfId="0" applyFont="1" applyFill="1"/>
    <xf numFmtId="0" fontId="6" fillId="0" borderId="0" xfId="0" applyFont="1" applyFill="1"/>
    <xf numFmtId="0" fontId="3" fillId="0" borderId="0" xfId="0" applyFont="1"/>
    <xf numFmtId="14" fontId="2" fillId="3" borderId="0" xfId="0" applyNumberFormat="1" applyFont="1" applyFill="1"/>
    <xf numFmtId="0" fontId="2" fillId="4" borderId="0" xfId="0" applyFont="1" applyFill="1"/>
    <xf numFmtId="0" fontId="7" fillId="2" borderId="0" xfId="0" applyFon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B690-F4C0-4E3B-96BC-A74750236C7D}">
  <dimension ref="A1:O244"/>
  <sheetViews>
    <sheetView tabSelected="1" zoomScaleNormal="100" workbookViewId="0">
      <selection activeCell="G6" sqref="G6"/>
    </sheetView>
  </sheetViews>
  <sheetFormatPr baseColWidth="10" defaultRowHeight="12.75" x14ac:dyDescent="0.2"/>
  <cols>
    <col min="1" max="16384" width="11.42578125" style="1"/>
  </cols>
  <sheetData>
    <row r="1" spans="1:14" x14ac:dyDescent="0.2">
      <c r="A1" s="6" t="s">
        <v>79</v>
      </c>
      <c r="B1" s="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x14ac:dyDescent="0.2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x14ac:dyDescent="0.2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7" t="s">
        <v>87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">
      <c r="A5" s="5" t="s">
        <v>88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A6" s="5" t="s">
        <v>89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A7" s="1" t="s">
        <v>90</v>
      </c>
    </row>
    <row r="9" spans="1:14" x14ac:dyDescent="0.2">
      <c r="A9" s="3" t="s">
        <v>173</v>
      </c>
    </row>
    <row r="10" spans="1:14" x14ac:dyDescent="0.2">
      <c r="A10" s="1" t="s">
        <v>175</v>
      </c>
    </row>
    <row r="11" spans="1:14" x14ac:dyDescent="0.2">
      <c r="A11" s="1" t="s">
        <v>174</v>
      </c>
    </row>
    <row r="13" spans="1:14" x14ac:dyDescent="0.2">
      <c r="A13" s="6" t="s">
        <v>80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spans="1:14" x14ac:dyDescent="0.2">
      <c r="A14" s="7" t="s">
        <v>62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5" t="s">
        <v>63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5" t="s">
        <v>75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" x14ac:dyDescent="0.2">
      <c r="A17" s="1" t="s">
        <v>61</v>
      </c>
    </row>
    <row r="18" spans="1:1" x14ac:dyDescent="0.2">
      <c r="A18" s="1" t="s">
        <v>25</v>
      </c>
    </row>
    <row r="19" spans="1:1" x14ac:dyDescent="0.2">
      <c r="A19" s="1" t="s">
        <v>72</v>
      </c>
    </row>
    <row r="20" spans="1:1" x14ac:dyDescent="0.2">
      <c r="A20" s="1" t="s">
        <v>96</v>
      </c>
    </row>
    <row r="21" spans="1:1" x14ac:dyDescent="0.2">
      <c r="A21" s="1" t="s">
        <v>65</v>
      </c>
    </row>
    <row r="22" spans="1:1" x14ac:dyDescent="0.2">
      <c r="A22" s="1" t="s">
        <v>68</v>
      </c>
    </row>
    <row r="24" spans="1:1" x14ac:dyDescent="0.2">
      <c r="A24" s="3" t="s">
        <v>64</v>
      </c>
    </row>
    <row r="25" spans="1:1" x14ac:dyDescent="0.2">
      <c r="A25" s="1" t="s">
        <v>66</v>
      </c>
    </row>
    <row r="26" spans="1:1" x14ac:dyDescent="0.2">
      <c r="A26" s="1" t="s">
        <v>95</v>
      </c>
    </row>
    <row r="27" spans="1:1" x14ac:dyDescent="0.2">
      <c r="A27" s="1" t="s">
        <v>76</v>
      </c>
    </row>
    <row r="28" spans="1:1" x14ac:dyDescent="0.2">
      <c r="A28" s="1" t="s">
        <v>77</v>
      </c>
    </row>
    <row r="29" spans="1:1" x14ac:dyDescent="0.2">
      <c r="A29" s="1" t="s">
        <v>67</v>
      </c>
    </row>
    <row r="31" spans="1:1" x14ac:dyDescent="0.2">
      <c r="A31" s="1" t="s">
        <v>97</v>
      </c>
    </row>
    <row r="33" spans="1:15" x14ac:dyDescent="0.2">
      <c r="A33" s="6" t="s">
        <v>69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6" t="s">
        <v>1</v>
      </c>
      <c r="B34" s="6" t="s">
        <v>27</v>
      </c>
      <c r="C34" s="6" t="s">
        <v>70</v>
      </c>
      <c r="D34" s="6"/>
      <c r="E34" s="6" t="s">
        <v>73</v>
      </c>
      <c r="F34" s="6"/>
      <c r="G34" s="8" t="s">
        <v>83</v>
      </c>
      <c r="H34" s="8" t="s">
        <v>40</v>
      </c>
      <c r="I34" s="8" t="s">
        <v>29</v>
      </c>
      <c r="J34" s="8" t="s">
        <v>30</v>
      </c>
      <c r="K34" s="6" t="s">
        <v>23</v>
      </c>
      <c r="L34" s="6" t="s">
        <v>24</v>
      </c>
      <c r="M34" s="12" t="s">
        <v>8</v>
      </c>
      <c r="N34" s="8" t="s">
        <v>78</v>
      </c>
      <c r="O34" s="4"/>
    </row>
    <row r="35" spans="1:15" x14ac:dyDescent="0.2">
      <c r="A35" s="7"/>
      <c r="B35" s="14"/>
      <c r="C35" s="7"/>
      <c r="D35" s="7"/>
      <c r="E35" s="7"/>
      <c r="F35" s="7"/>
      <c r="G35" s="13"/>
      <c r="H35" s="13"/>
      <c r="I35" s="13"/>
      <c r="J35" s="13"/>
      <c r="K35" s="7"/>
      <c r="L35" s="7"/>
      <c r="M35" s="14"/>
      <c r="N35" s="13"/>
      <c r="O35" s="5"/>
    </row>
    <row r="36" spans="1:15" x14ac:dyDescent="0.2">
      <c r="A36" s="9" t="s">
        <v>84</v>
      </c>
      <c r="B36" s="15" t="s">
        <v>71</v>
      </c>
      <c r="C36" s="1" t="s">
        <v>81</v>
      </c>
      <c r="E36" s="1" t="s">
        <v>74</v>
      </c>
      <c r="G36" s="1">
        <v>4</v>
      </c>
      <c r="H36" s="1">
        <f>(30*G36)</f>
        <v>120</v>
      </c>
      <c r="I36" s="1">
        <v>510</v>
      </c>
      <c r="J36" s="1">
        <f>(I36*0.7)</f>
        <v>357</v>
      </c>
      <c r="K36" s="1">
        <f>(24/100*1.3*I36)</f>
        <v>159.12</v>
      </c>
      <c r="L36" s="1">
        <f>(15*G36)</f>
        <v>60</v>
      </c>
      <c r="M36" s="1">
        <v>20</v>
      </c>
      <c r="N36" s="1">
        <f>(7*25)</f>
        <v>175</v>
      </c>
    </row>
    <row r="37" spans="1:15" x14ac:dyDescent="0.2">
      <c r="A37" s="9">
        <v>43737</v>
      </c>
      <c r="B37" s="16"/>
      <c r="E37" s="1" t="s">
        <v>6</v>
      </c>
      <c r="M37" s="3"/>
      <c r="N37" s="3"/>
    </row>
    <row r="38" spans="1:15" x14ac:dyDescent="0.2">
      <c r="A38" s="10"/>
      <c r="B38" s="15"/>
      <c r="M38" s="3"/>
      <c r="N38" s="3"/>
    </row>
    <row r="39" spans="1:15" x14ac:dyDescent="0.2">
      <c r="A39" s="10" t="s">
        <v>85</v>
      </c>
      <c r="B39" s="15" t="s">
        <v>99</v>
      </c>
      <c r="C39" s="1" t="s">
        <v>26</v>
      </c>
      <c r="D39" s="3"/>
      <c r="E39" s="1" t="s">
        <v>94</v>
      </c>
      <c r="G39" s="1">
        <v>4</v>
      </c>
      <c r="H39" s="1">
        <f>(25*G39)</f>
        <v>100</v>
      </c>
      <c r="I39" s="1">
        <v>160</v>
      </c>
      <c r="J39" s="1">
        <f>(I39*0.55)</f>
        <v>88</v>
      </c>
      <c r="L39" s="1">
        <f>(10*G39)</f>
        <v>40</v>
      </c>
      <c r="M39" s="3"/>
      <c r="N39" s="1">
        <f>(25*2)</f>
        <v>50</v>
      </c>
    </row>
    <row r="40" spans="1:15" x14ac:dyDescent="0.2">
      <c r="A40" s="9">
        <v>43747</v>
      </c>
      <c r="B40" s="16"/>
      <c r="C40" s="1" t="s">
        <v>82</v>
      </c>
      <c r="E40" s="1" t="s">
        <v>91</v>
      </c>
      <c r="F40" s="3"/>
      <c r="G40" s="3"/>
      <c r="I40" s="1">
        <v>20</v>
      </c>
      <c r="J40" s="1">
        <f>(I40*0.55)</f>
        <v>11</v>
      </c>
      <c r="L40" s="3"/>
      <c r="M40" s="3"/>
      <c r="N40" s="3"/>
    </row>
    <row r="41" spans="1:15" x14ac:dyDescent="0.2">
      <c r="A41" s="10"/>
      <c r="B41" s="15"/>
      <c r="E41" s="1" t="s">
        <v>92</v>
      </c>
      <c r="G41" s="3"/>
      <c r="I41" s="1">
        <v>98</v>
      </c>
      <c r="J41" s="1">
        <f>(I41*0.55)</f>
        <v>53.900000000000006</v>
      </c>
      <c r="L41" s="3"/>
      <c r="M41" s="3"/>
      <c r="N41" s="3"/>
    </row>
    <row r="42" spans="1:15" x14ac:dyDescent="0.2">
      <c r="A42" s="11"/>
      <c r="B42" s="15"/>
      <c r="C42" s="3"/>
      <c r="D42" s="3"/>
      <c r="E42" s="1" t="s">
        <v>93</v>
      </c>
      <c r="G42" s="3"/>
      <c r="I42" s="1">
        <v>154</v>
      </c>
      <c r="J42" s="1">
        <f>(I42*0.55)</f>
        <v>84.7</v>
      </c>
      <c r="L42" s="3"/>
      <c r="M42" s="3"/>
      <c r="N42" s="3"/>
    </row>
    <row r="43" spans="1:15" x14ac:dyDescent="0.2">
      <c r="A43" s="9"/>
      <c r="B43" s="15"/>
      <c r="C43" s="3"/>
      <c r="D43" s="3"/>
      <c r="G43" s="3"/>
      <c r="L43" s="3"/>
      <c r="M43" s="3"/>
      <c r="N43" s="3"/>
    </row>
    <row r="44" spans="1:15" x14ac:dyDescent="0.2">
      <c r="A44" s="10" t="s">
        <v>98</v>
      </c>
      <c r="B44" s="15" t="s">
        <v>99</v>
      </c>
      <c r="C44" s="1" t="s">
        <v>26</v>
      </c>
      <c r="D44" s="3"/>
      <c r="E44" s="1" t="s">
        <v>94</v>
      </c>
      <c r="G44" s="1">
        <v>2</v>
      </c>
      <c r="H44" s="1">
        <f t="shared" ref="H44" si="0">(25*G44)</f>
        <v>50</v>
      </c>
      <c r="I44" s="1">
        <v>160</v>
      </c>
      <c r="J44" s="1">
        <f t="shared" ref="J44:J45" si="1">(I44*0.55)</f>
        <v>88</v>
      </c>
      <c r="L44" s="1">
        <f>(10*2)</f>
        <v>20</v>
      </c>
      <c r="M44" s="1">
        <v>20</v>
      </c>
      <c r="N44" s="1">
        <f>(25*2)</f>
        <v>50</v>
      </c>
    </row>
    <row r="45" spans="1:15" x14ac:dyDescent="0.2">
      <c r="A45" s="9">
        <v>43753</v>
      </c>
      <c r="B45" s="15"/>
      <c r="C45" s="1" t="s">
        <v>82</v>
      </c>
      <c r="E45" s="1" t="s">
        <v>132</v>
      </c>
      <c r="I45" s="1">
        <v>522</v>
      </c>
      <c r="J45" s="1">
        <f t="shared" si="1"/>
        <v>287.10000000000002</v>
      </c>
      <c r="L45" s="3"/>
      <c r="M45" s="3"/>
      <c r="N45" s="1">
        <f>(7*25)</f>
        <v>175</v>
      </c>
    </row>
    <row r="46" spans="1:15" x14ac:dyDescent="0.2">
      <c r="A46" s="9"/>
      <c r="B46" s="15"/>
      <c r="C46" s="3"/>
      <c r="D46" s="3"/>
      <c r="E46" s="3"/>
      <c r="F46" s="3"/>
      <c r="G46" s="3"/>
      <c r="H46" s="3"/>
      <c r="I46" s="3"/>
      <c r="J46" s="3"/>
      <c r="L46" s="3"/>
      <c r="M46" s="3"/>
      <c r="N46" s="3"/>
    </row>
    <row r="47" spans="1:15" x14ac:dyDescent="0.2">
      <c r="A47" s="9" t="s">
        <v>168</v>
      </c>
      <c r="B47" s="16" t="s">
        <v>100</v>
      </c>
      <c r="C47" s="1" t="s">
        <v>81</v>
      </c>
      <c r="E47" s="1" t="s">
        <v>101</v>
      </c>
      <c r="G47" s="1">
        <v>2</v>
      </c>
      <c r="H47" s="1">
        <f>(30*G47)</f>
        <v>60</v>
      </c>
      <c r="I47" s="1">
        <v>54</v>
      </c>
      <c r="J47" s="1">
        <f>(0.7*I47)</f>
        <v>37.799999999999997</v>
      </c>
      <c r="K47" s="1">
        <f>(24/100*1.3*I47)</f>
        <v>16.847999999999999</v>
      </c>
      <c r="L47" s="1">
        <f>(15*G47)</f>
        <v>30</v>
      </c>
      <c r="M47" s="1">
        <v>20</v>
      </c>
      <c r="N47" s="1">
        <f>(25*2)</f>
        <v>50</v>
      </c>
    </row>
    <row r="48" spans="1:15" x14ac:dyDescent="0.2">
      <c r="A48" s="9">
        <v>43758</v>
      </c>
      <c r="B48" s="16"/>
    </row>
    <row r="49" spans="1:14" x14ac:dyDescent="0.2">
      <c r="A49" s="9"/>
      <c r="B49" s="15"/>
    </row>
    <row r="50" spans="1:14" x14ac:dyDescent="0.2">
      <c r="A50" s="10" t="s">
        <v>102</v>
      </c>
      <c r="B50" s="15" t="s">
        <v>99</v>
      </c>
      <c r="C50" s="1" t="s">
        <v>26</v>
      </c>
      <c r="D50" s="3"/>
      <c r="E50" s="1" t="s">
        <v>94</v>
      </c>
      <c r="G50" s="1">
        <v>2</v>
      </c>
      <c r="H50" s="1">
        <f>(25*2)</f>
        <v>50</v>
      </c>
      <c r="I50" s="1">
        <v>160</v>
      </c>
      <c r="J50" s="1">
        <f>(0.55*I50)</f>
        <v>88</v>
      </c>
      <c r="L50" s="1">
        <f>(10*2)</f>
        <v>20</v>
      </c>
      <c r="M50" s="1">
        <v>20</v>
      </c>
      <c r="N50" s="1">
        <f>(25*2)</f>
        <v>50</v>
      </c>
    </row>
    <row r="51" spans="1:14" x14ac:dyDescent="0.2">
      <c r="A51" s="9">
        <v>43783</v>
      </c>
      <c r="B51" s="15"/>
      <c r="C51" s="1" t="s">
        <v>82</v>
      </c>
      <c r="E51" s="1" t="s">
        <v>103</v>
      </c>
      <c r="I51" s="1">
        <v>536</v>
      </c>
      <c r="J51" s="1">
        <f>(0.55*I51)</f>
        <v>294.8</v>
      </c>
      <c r="N51" s="1">
        <f>(25*7)</f>
        <v>175</v>
      </c>
    </row>
    <row r="52" spans="1:14" x14ac:dyDescent="0.2">
      <c r="A52" s="9"/>
      <c r="B52" s="15"/>
    </row>
    <row r="53" spans="1:14" x14ac:dyDescent="0.2">
      <c r="A53" s="10" t="s">
        <v>104</v>
      </c>
      <c r="B53" s="15" t="s">
        <v>99</v>
      </c>
      <c r="C53" s="1" t="s">
        <v>26</v>
      </c>
      <c r="D53" s="3"/>
      <c r="E53" s="1" t="s">
        <v>94</v>
      </c>
      <c r="G53" s="1">
        <v>11</v>
      </c>
      <c r="H53" s="1">
        <f>(25*G53)</f>
        <v>275</v>
      </c>
      <c r="I53" s="1">
        <v>160</v>
      </c>
      <c r="J53" s="1">
        <f t="shared" ref="J53:J57" si="2">(0.55*I53)</f>
        <v>88</v>
      </c>
      <c r="L53" s="1">
        <f>(10*G53)</f>
        <v>110</v>
      </c>
      <c r="N53" s="1">
        <f>(25*2)</f>
        <v>50</v>
      </c>
    </row>
    <row r="54" spans="1:14" x14ac:dyDescent="0.2">
      <c r="A54" s="9">
        <v>43796</v>
      </c>
      <c r="B54" s="15"/>
      <c r="C54" s="1" t="s">
        <v>82</v>
      </c>
      <c r="E54" s="1" t="s">
        <v>105</v>
      </c>
      <c r="I54" s="1">
        <v>564</v>
      </c>
      <c r="J54" s="1">
        <f t="shared" si="2"/>
        <v>310.20000000000005</v>
      </c>
      <c r="N54" s="1">
        <f>(7*25)</f>
        <v>175</v>
      </c>
    </row>
    <row r="55" spans="1:14" x14ac:dyDescent="0.2">
      <c r="A55" s="9"/>
      <c r="B55" s="15"/>
      <c r="E55" s="1" t="s">
        <v>107</v>
      </c>
      <c r="I55" s="1">
        <v>224</v>
      </c>
      <c r="J55" s="1">
        <f t="shared" si="2"/>
        <v>123.20000000000002</v>
      </c>
    </row>
    <row r="56" spans="1:14" x14ac:dyDescent="0.2">
      <c r="A56" s="10"/>
      <c r="B56" s="16"/>
      <c r="E56" s="1" t="s">
        <v>108</v>
      </c>
      <c r="I56" s="1">
        <v>104</v>
      </c>
      <c r="J56" s="1">
        <f t="shared" si="2"/>
        <v>57.2</v>
      </c>
    </row>
    <row r="57" spans="1:14" x14ac:dyDescent="0.2">
      <c r="A57" s="10"/>
      <c r="B57" s="15"/>
      <c r="E57" s="1" t="s">
        <v>106</v>
      </c>
      <c r="I57" s="1">
        <v>88</v>
      </c>
      <c r="J57" s="1">
        <f t="shared" si="2"/>
        <v>48.400000000000006</v>
      </c>
    </row>
    <row r="58" spans="1:14" x14ac:dyDescent="0.2">
      <c r="A58" s="9"/>
      <c r="B58" s="15"/>
    </row>
    <row r="59" spans="1:14" x14ac:dyDescent="0.2">
      <c r="A59" s="9" t="s">
        <v>109</v>
      </c>
      <c r="B59" s="15" t="s">
        <v>28</v>
      </c>
      <c r="C59" s="1" t="s">
        <v>110</v>
      </c>
      <c r="E59" s="1" t="s">
        <v>74</v>
      </c>
      <c r="G59" s="1">
        <v>2</v>
      </c>
      <c r="H59" s="1">
        <f>(30*2)</f>
        <v>60</v>
      </c>
      <c r="I59" s="1">
        <v>48</v>
      </c>
      <c r="J59" s="1">
        <f>(0.7*I59)</f>
        <v>33.599999999999994</v>
      </c>
      <c r="K59" s="1">
        <f>(24/100*1.3*I59)</f>
        <v>14.975999999999999</v>
      </c>
      <c r="L59" s="1">
        <f>(15*2)</f>
        <v>30</v>
      </c>
      <c r="M59" s="1">
        <v>20</v>
      </c>
      <c r="N59" s="1">
        <f>(25*2)</f>
        <v>50</v>
      </c>
    </row>
    <row r="60" spans="1:14" x14ac:dyDescent="0.2">
      <c r="A60" s="9">
        <v>43851</v>
      </c>
      <c r="B60" s="15"/>
      <c r="E60" s="1" t="s">
        <v>111</v>
      </c>
    </row>
    <row r="61" spans="1:14" x14ac:dyDescent="0.2">
      <c r="A61" s="9"/>
      <c r="B61" s="15"/>
    </row>
    <row r="62" spans="1:14" x14ac:dyDescent="0.2">
      <c r="A62" s="10" t="s">
        <v>112</v>
      </c>
      <c r="B62" s="15" t="s">
        <v>86</v>
      </c>
      <c r="C62" s="1" t="s">
        <v>26</v>
      </c>
      <c r="D62" s="3"/>
      <c r="E62" s="1" t="s">
        <v>115</v>
      </c>
      <c r="G62" s="1">
        <v>4</v>
      </c>
      <c r="I62" s="1">
        <v>160</v>
      </c>
      <c r="J62" s="1">
        <f>0.55*I62</f>
        <v>88</v>
      </c>
      <c r="L62" s="1">
        <f>(10*4)</f>
        <v>40</v>
      </c>
    </row>
    <row r="63" spans="1:14" x14ac:dyDescent="0.2">
      <c r="A63" s="9">
        <v>43508</v>
      </c>
      <c r="B63" s="15"/>
      <c r="C63" s="1" t="s">
        <v>82</v>
      </c>
      <c r="E63" s="1" t="s">
        <v>91</v>
      </c>
      <c r="F63" s="3"/>
      <c r="G63" s="3"/>
      <c r="I63" s="1">
        <v>20</v>
      </c>
      <c r="J63" s="1">
        <f>(I63*0.55)</f>
        <v>11</v>
      </c>
      <c r="N63" s="1">
        <f>(25*2)</f>
        <v>50</v>
      </c>
    </row>
    <row r="64" spans="1:14" x14ac:dyDescent="0.2">
      <c r="A64" s="9"/>
      <c r="B64" s="15"/>
      <c r="E64" s="1" t="s">
        <v>92</v>
      </c>
      <c r="G64" s="3"/>
      <c r="I64" s="1">
        <v>98</v>
      </c>
      <c r="J64" s="1">
        <f>(I64*0.55)</f>
        <v>53.900000000000006</v>
      </c>
    </row>
    <row r="65" spans="1:14" x14ac:dyDescent="0.2">
      <c r="A65" s="9"/>
      <c r="B65" s="15"/>
      <c r="E65" s="1" t="s">
        <v>93</v>
      </c>
      <c r="G65" s="3"/>
      <c r="I65" s="1">
        <v>154</v>
      </c>
      <c r="J65" s="1">
        <f>(I65*0.55)</f>
        <v>84.7</v>
      </c>
    </row>
    <row r="66" spans="1:14" x14ac:dyDescent="0.2">
      <c r="A66" s="9"/>
      <c r="B66" s="15"/>
    </row>
    <row r="67" spans="1:14" x14ac:dyDescent="0.2">
      <c r="A67" s="9" t="s">
        <v>169</v>
      </c>
      <c r="B67" s="15"/>
      <c r="C67" s="1" t="s">
        <v>110</v>
      </c>
      <c r="E67" s="1" t="s">
        <v>74</v>
      </c>
      <c r="G67" s="1">
        <v>2</v>
      </c>
      <c r="H67" s="1">
        <f>(30*2)</f>
        <v>60</v>
      </c>
      <c r="I67" s="1">
        <f>(100*2)</f>
        <v>200</v>
      </c>
      <c r="J67" s="1">
        <f>(0.7*I67)</f>
        <v>140</v>
      </c>
      <c r="K67" s="1">
        <f>(24/100*1.3*I67)</f>
        <v>62.4</v>
      </c>
      <c r="L67" s="1">
        <f>(15*2)</f>
        <v>30</v>
      </c>
      <c r="N67" s="1">
        <f>(6*25)</f>
        <v>150</v>
      </c>
    </row>
    <row r="68" spans="1:14" x14ac:dyDescent="0.2">
      <c r="A68" s="9">
        <v>43930</v>
      </c>
      <c r="B68" s="15"/>
      <c r="E68" s="1" t="s">
        <v>113</v>
      </c>
    </row>
    <row r="69" spans="1:14" x14ac:dyDescent="0.2">
      <c r="A69" s="9"/>
      <c r="B69" s="15"/>
      <c r="E69" s="1" t="s">
        <v>114</v>
      </c>
    </row>
    <row r="70" spans="1:14" x14ac:dyDescent="0.2">
      <c r="A70" s="9"/>
      <c r="B70" s="15"/>
    </row>
    <row r="71" spans="1:14" x14ac:dyDescent="0.2">
      <c r="A71" s="17" t="s">
        <v>7</v>
      </c>
      <c r="B71" s="18"/>
      <c r="C71" s="19"/>
      <c r="D71" s="19"/>
      <c r="E71" s="19"/>
      <c r="F71" s="19"/>
      <c r="G71" s="19"/>
      <c r="H71" s="17">
        <f>SUM(H36:H70)</f>
        <v>775</v>
      </c>
      <c r="I71" s="17"/>
      <c r="J71" s="17">
        <f>SUM(J36:J70)</f>
        <v>2428.5</v>
      </c>
      <c r="K71" s="17"/>
      <c r="L71" s="17">
        <f>SUM(L36:L70)</f>
        <v>380</v>
      </c>
      <c r="M71" s="17">
        <f>SUM(M36:M70)</f>
        <v>100</v>
      </c>
      <c r="N71" s="17">
        <f>SUM(N36:N70)</f>
        <v>1200</v>
      </c>
    </row>
    <row r="72" spans="1:14" x14ac:dyDescent="0.2">
      <c r="A72" s="7"/>
      <c r="B72" s="2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6" t="s">
        <v>116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4" x14ac:dyDescent="0.2">
      <c r="A74" s="5" t="s">
        <v>118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 x14ac:dyDescent="0.2">
      <c r="A75" s="1" t="s">
        <v>117</v>
      </c>
    </row>
    <row r="76" spans="1:14" x14ac:dyDescent="0.2">
      <c r="A76" s="1" t="s">
        <v>137</v>
      </c>
    </row>
    <row r="77" spans="1:14" x14ac:dyDescent="0.2">
      <c r="A77" s="1" t="s">
        <v>33</v>
      </c>
    </row>
    <row r="78" spans="1:14" x14ac:dyDescent="0.2">
      <c r="A78" s="1" t="s">
        <v>119</v>
      </c>
    </row>
    <row r="79" spans="1:14" x14ac:dyDescent="0.2">
      <c r="A79" s="1" t="s">
        <v>166</v>
      </c>
    </row>
    <row r="81" spans="1:14" x14ac:dyDescent="0.2">
      <c r="A81" s="6" t="s">
        <v>1</v>
      </c>
      <c r="B81" s="6" t="s">
        <v>27</v>
      </c>
      <c r="C81" s="6" t="s">
        <v>22</v>
      </c>
      <c r="D81" s="4"/>
      <c r="E81" s="6" t="s">
        <v>31</v>
      </c>
      <c r="F81" s="6" t="s">
        <v>29</v>
      </c>
      <c r="G81" s="6"/>
      <c r="H81" s="6" t="s">
        <v>32</v>
      </c>
      <c r="I81" s="6" t="s">
        <v>4</v>
      </c>
      <c r="J81" s="4"/>
      <c r="K81" s="4"/>
      <c r="L81" s="4"/>
      <c r="M81" s="4"/>
      <c r="N81" s="4"/>
    </row>
    <row r="82" spans="1:14" x14ac:dyDescent="0.2">
      <c r="A82" s="9" t="s">
        <v>84</v>
      </c>
      <c r="B82" s="15" t="s">
        <v>71</v>
      </c>
      <c r="C82" s="1" t="s">
        <v>6</v>
      </c>
      <c r="E82" s="1" t="s">
        <v>130</v>
      </c>
      <c r="F82" s="1">
        <v>520</v>
      </c>
      <c r="H82" s="1">
        <f>(F82*0.43)</f>
        <v>223.6</v>
      </c>
    </row>
    <row r="83" spans="1:14" x14ac:dyDescent="0.2">
      <c r="A83" s="9">
        <v>43737</v>
      </c>
      <c r="B83" s="16"/>
      <c r="E83" s="1" t="s">
        <v>39</v>
      </c>
      <c r="F83" s="1">
        <v>70</v>
      </c>
      <c r="H83" s="1">
        <f>(F83*0.43)</f>
        <v>30.099999999999998</v>
      </c>
    </row>
    <row r="84" spans="1:14" x14ac:dyDescent="0.2">
      <c r="A84" s="10"/>
      <c r="B84" s="15"/>
      <c r="E84" s="1" t="s">
        <v>48</v>
      </c>
      <c r="F84" s="1">
        <v>520</v>
      </c>
      <c r="G84" s="1" t="s">
        <v>131</v>
      </c>
    </row>
    <row r="85" spans="1:14" x14ac:dyDescent="0.2">
      <c r="A85" s="10"/>
      <c r="B85" s="15"/>
    </row>
    <row r="86" spans="1:14" x14ac:dyDescent="0.2">
      <c r="A86" s="10" t="s">
        <v>85</v>
      </c>
      <c r="B86" s="15" t="s">
        <v>99</v>
      </c>
      <c r="C86" s="1" t="s">
        <v>120</v>
      </c>
      <c r="E86" s="1" t="s">
        <v>130</v>
      </c>
      <c r="F86" s="1">
        <v>520</v>
      </c>
      <c r="H86" s="1">
        <f t="shared" ref="H86:H98" si="3">(F86*0.43)</f>
        <v>223.6</v>
      </c>
    </row>
    <row r="87" spans="1:14" x14ac:dyDescent="0.2">
      <c r="A87" s="9">
        <v>43747</v>
      </c>
      <c r="B87" s="16"/>
      <c r="C87" s="1" t="s">
        <v>121</v>
      </c>
      <c r="E87" s="1" t="s">
        <v>39</v>
      </c>
      <c r="F87" s="1" t="s">
        <v>134</v>
      </c>
    </row>
    <row r="88" spans="1:14" x14ac:dyDescent="0.2">
      <c r="A88" s="10"/>
      <c r="B88" s="15"/>
      <c r="C88" s="1" t="s">
        <v>122</v>
      </c>
    </row>
    <row r="89" spans="1:14" x14ac:dyDescent="0.2">
      <c r="A89" s="11"/>
      <c r="B89" s="15"/>
    </row>
    <row r="90" spans="1:14" x14ac:dyDescent="0.2">
      <c r="A90" s="9"/>
      <c r="B90" s="15"/>
    </row>
    <row r="91" spans="1:14" x14ac:dyDescent="0.2">
      <c r="A91" s="10" t="s">
        <v>98</v>
      </c>
      <c r="B91" s="15" t="s">
        <v>99</v>
      </c>
      <c r="C91" s="1" t="s">
        <v>2</v>
      </c>
      <c r="E91" s="1" t="s">
        <v>130</v>
      </c>
      <c r="F91" s="1">
        <f>(40*2)</f>
        <v>80</v>
      </c>
      <c r="G91" s="1" t="s">
        <v>133</v>
      </c>
      <c r="H91" s="1">
        <f t="shared" si="3"/>
        <v>34.4</v>
      </c>
    </row>
    <row r="92" spans="1:14" x14ac:dyDescent="0.2">
      <c r="A92" s="9">
        <v>43753</v>
      </c>
      <c r="B92" s="15"/>
      <c r="E92" s="1" t="s">
        <v>39</v>
      </c>
      <c r="F92" s="1">
        <v>520</v>
      </c>
      <c r="H92" s="1">
        <f t="shared" si="3"/>
        <v>223.6</v>
      </c>
    </row>
    <row r="93" spans="1:14" x14ac:dyDescent="0.2">
      <c r="A93" s="9"/>
      <c r="B93" s="15"/>
    </row>
    <row r="94" spans="1:14" x14ac:dyDescent="0.2">
      <c r="A94" s="9" t="s">
        <v>168</v>
      </c>
      <c r="B94" s="16" t="s">
        <v>100</v>
      </c>
      <c r="C94" s="1" t="s">
        <v>123</v>
      </c>
      <c r="E94" s="1" t="s">
        <v>130</v>
      </c>
      <c r="F94" s="1">
        <f>(36*2)</f>
        <v>72</v>
      </c>
      <c r="G94" s="1" t="s">
        <v>133</v>
      </c>
      <c r="H94" s="1">
        <f t="shared" si="3"/>
        <v>30.96</v>
      </c>
    </row>
    <row r="95" spans="1:14" x14ac:dyDescent="0.2">
      <c r="A95" s="9">
        <v>43758</v>
      </c>
      <c r="B95" s="16"/>
      <c r="E95" s="1" t="s">
        <v>39</v>
      </c>
      <c r="F95" s="1">
        <v>520</v>
      </c>
      <c r="H95" s="1">
        <f t="shared" si="3"/>
        <v>223.6</v>
      </c>
    </row>
    <row r="96" spans="1:14" x14ac:dyDescent="0.2">
      <c r="A96" s="9"/>
      <c r="B96" s="15"/>
      <c r="E96" s="1" t="s">
        <v>48</v>
      </c>
      <c r="F96" s="1" t="s">
        <v>134</v>
      </c>
    </row>
    <row r="97" spans="1:8" x14ac:dyDescent="0.2">
      <c r="A97" s="9"/>
      <c r="B97" s="15"/>
    </row>
    <row r="98" spans="1:8" x14ac:dyDescent="0.2">
      <c r="A98" s="10" t="s">
        <v>102</v>
      </c>
      <c r="B98" s="15" t="s">
        <v>99</v>
      </c>
      <c r="C98" s="1" t="s">
        <v>124</v>
      </c>
      <c r="E98" s="1" t="s">
        <v>130</v>
      </c>
      <c r="F98" s="1">
        <f>(52*2)</f>
        <v>104</v>
      </c>
      <c r="G98" s="1" t="s">
        <v>133</v>
      </c>
      <c r="H98" s="1">
        <f t="shared" si="3"/>
        <v>44.72</v>
      </c>
    </row>
    <row r="99" spans="1:8" x14ac:dyDescent="0.2">
      <c r="A99" s="9">
        <v>43783</v>
      </c>
      <c r="B99" s="15"/>
      <c r="E99" s="1" t="s">
        <v>39</v>
      </c>
      <c r="F99" s="1" t="s">
        <v>134</v>
      </c>
    </row>
    <row r="100" spans="1:8" x14ac:dyDescent="0.2">
      <c r="A100" s="9"/>
      <c r="B100" s="15"/>
    </row>
    <row r="101" spans="1:8" x14ac:dyDescent="0.2">
      <c r="A101" s="10" t="s">
        <v>104</v>
      </c>
      <c r="B101" s="15" t="s">
        <v>99</v>
      </c>
      <c r="C101" s="1" t="s">
        <v>125</v>
      </c>
      <c r="E101" s="1" t="s">
        <v>130</v>
      </c>
      <c r="F101" s="1" t="s">
        <v>34</v>
      </c>
      <c r="H101" s="1">
        <v>144</v>
      </c>
    </row>
    <row r="102" spans="1:8" x14ac:dyDescent="0.2">
      <c r="A102" s="9">
        <v>43796</v>
      </c>
      <c r="B102" s="15"/>
      <c r="C102" s="1" t="s">
        <v>126</v>
      </c>
      <c r="E102" s="1" t="s">
        <v>39</v>
      </c>
      <c r="F102" s="1" t="s">
        <v>134</v>
      </c>
    </row>
    <row r="103" spans="1:8" x14ac:dyDescent="0.2">
      <c r="A103" s="9"/>
      <c r="B103" s="15"/>
      <c r="C103" s="1" t="s">
        <v>127</v>
      </c>
      <c r="E103" s="1" t="s">
        <v>48</v>
      </c>
      <c r="F103" s="1" t="s">
        <v>34</v>
      </c>
      <c r="H103" s="1">
        <v>144</v>
      </c>
    </row>
    <row r="104" spans="1:8" x14ac:dyDescent="0.2">
      <c r="A104" s="10"/>
      <c r="B104" s="16"/>
      <c r="C104" s="1" t="s">
        <v>128</v>
      </c>
    </row>
    <row r="105" spans="1:8" x14ac:dyDescent="0.2">
      <c r="A105" s="10"/>
      <c r="B105" s="15"/>
    </row>
    <row r="106" spans="1:8" x14ac:dyDescent="0.2">
      <c r="A106" s="9"/>
      <c r="B106" s="15"/>
    </row>
    <row r="107" spans="1:8" x14ac:dyDescent="0.2">
      <c r="A107" s="9" t="s">
        <v>109</v>
      </c>
      <c r="B107" s="15" t="s">
        <v>28</v>
      </c>
      <c r="C107" s="1" t="s">
        <v>111</v>
      </c>
      <c r="E107" s="1" t="s">
        <v>130</v>
      </c>
      <c r="F107" s="1">
        <f>(48*2)</f>
        <v>96</v>
      </c>
      <c r="G107" s="1" t="s">
        <v>133</v>
      </c>
      <c r="H107" s="1">
        <f>(0.43*F107)</f>
        <v>41.28</v>
      </c>
    </row>
    <row r="108" spans="1:8" x14ac:dyDescent="0.2">
      <c r="A108" s="9">
        <v>43851</v>
      </c>
      <c r="B108" s="15"/>
      <c r="E108" s="1" t="s">
        <v>39</v>
      </c>
      <c r="F108" s="1">
        <v>520</v>
      </c>
      <c r="H108" s="1">
        <f>(0.43*F108)</f>
        <v>223.6</v>
      </c>
    </row>
    <row r="109" spans="1:8" x14ac:dyDescent="0.2">
      <c r="A109" s="9"/>
      <c r="B109" s="15"/>
      <c r="E109" s="1" t="s">
        <v>48</v>
      </c>
      <c r="F109" s="1" t="s">
        <v>134</v>
      </c>
    </row>
    <row r="110" spans="1:8" x14ac:dyDescent="0.2">
      <c r="A110" s="9"/>
      <c r="B110" s="15"/>
    </row>
    <row r="111" spans="1:8" x14ac:dyDescent="0.2">
      <c r="A111" s="10" t="s">
        <v>112</v>
      </c>
      <c r="B111" s="15" t="s">
        <v>86</v>
      </c>
      <c r="C111" s="1" t="s">
        <v>120</v>
      </c>
      <c r="E111" s="1" t="s">
        <v>130</v>
      </c>
      <c r="F111" s="1">
        <v>520</v>
      </c>
      <c r="H111" s="1">
        <f t="shared" ref="H111:H118" si="4">(F111*0.43)</f>
        <v>223.6</v>
      </c>
    </row>
    <row r="112" spans="1:8" x14ac:dyDescent="0.2">
      <c r="A112" s="9">
        <v>43508</v>
      </c>
      <c r="B112" s="15"/>
      <c r="C112" s="1" t="s">
        <v>121</v>
      </c>
      <c r="E112" s="1" t="s">
        <v>39</v>
      </c>
      <c r="F112" s="1" t="s">
        <v>134</v>
      </c>
    </row>
    <row r="113" spans="1:12" x14ac:dyDescent="0.2">
      <c r="A113" s="9"/>
      <c r="B113" s="15"/>
      <c r="C113" s="1" t="s">
        <v>122</v>
      </c>
    </row>
    <row r="114" spans="1:12" x14ac:dyDescent="0.2">
      <c r="A114" s="9"/>
      <c r="B114" s="15"/>
    </row>
    <row r="115" spans="1:12" x14ac:dyDescent="0.2">
      <c r="A115" s="9"/>
      <c r="B115" s="15"/>
    </row>
    <row r="116" spans="1:12" x14ac:dyDescent="0.2">
      <c r="A116" s="9" t="s">
        <v>169</v>
      </c>
      <c r="B116" s="15"/>
      <c r="C116" s="1" t="s">
        <v>129</v>
      </c>
      <c r="E116" s="1" t="s">
        <v>130</v>
      </c>
      <c r="F116" s="1">
        <f>(98*5)</f>
        <v>490</v>
      </c>
      <c r="G116" s="1" t="s">
        <v>136</v>
      </c>
      <c r="H116" s="1">
        <f t="shared" si="4"/>
        <v>210.7</v>
      </c>
    </row>
    <row r="117" spans="1:12" x14ac:dyDescent="0.2">
      <c r="A117" s="9">
        <v>43930</v>
      </c>
      <c r="B117" s="15"/>
      <c r="E117" s="1" t="s">
        <v>39</v>
      </c>
      <c r="F117" s="1">
        <v>524</v>
      </c>
      <c r="H117" s="1">
        <f t="shared" si="4"/>
        <v>225.32</v>
      </c>
    </row>
    <row r="118" spans="1:12" x14ac:dyDescent="0.2">
      <c r="A118" s="9"/>
      <c r="B118" s="15"/>
      <c r="E118" s="1" t="s">
        <v>48</v>
      </c>
      <c r="F118" s="1">
        <v>324</v>
      </c>
      <c r="G118" s="1" t="s">
        <v>135</v>
      </c>
      <c r="H118" s="1">
        <f t="shared" si="4"/>
        <v>139.32</v>
      </c>
    </row>
    <row r="119" spans="1:12" x14ac:dyDescent="0.2">
      <c r="A119" s="9"/>
      <c r="B119" s="15"/>
    </row>
    <row r="120" spans="1:12" x14ac:dyDescent="0.2">
      <c r="A120" s="17" t="s">
        <v>7</v>
      </c>
      <c r="B120" s="17"/>
      <c r="C120" s="17"/>
      <c r="D120" s="17"/>
      <c r="E120" s="17"/>
      <c r="F120" s="17"/>
      <c r="G120" s="17"/>
      <c r="H120" s="17">
        <f>SUM(H82:H119)</f>
        <v>2386.4</v>
      </c>
      <c r="I120" s="19"/>
      <c r="J120" s="19"/>
      <c r="K120" s="19"/>
      <c r="L120" s="19"/>
    </row>
    <row r="123" spans="1:12" x14ac:dyDescent="0.2">
      <c r="A123" s="6" t="s">
        <v>35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">
      <c r="A124" s="5" t="s">
        <v>138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x14ac:dyDescent="0.2">
      <c r="A125" s="5" t="s">
        <v>38</v>
      </c>
      <c r="B125" s="5"/>
      <c r="C125" s="5"/>
      <c r="D125" s="5"/>
      <c r="E125" s="5"/>
      <c r="F125" s="5"/>
      <c r="G125" s="5"/>
      <c r="H125" s="7"/>
      <c r="I125" s="7"/>
      <c r="J125" s="7"/>
      <c r="K125" s="7"/>
      <c r="L125" s="7"/>
    </row>
    <row r="126" spans="1:12" x14ac:dyDescent="0.2">
      <c r="A126" s="7"/>
      <c r="B126" s="5"/>
      <c r="C126" s="5"/>
      <c r="D126" s="5"/>
      <c r="E126" s="5"/>
      <c r="F126" s="5"/>
      <c r="G126" s="5"/>
      <c r="H126" s="7"/>
      <c r="I126" s="7"/>
      <c r="J126" s="7"/>
      <c r="K126" s="7"/>
      <c r="L126" s="7"/>
    </row>
    <row r="127" spans="1:12" x14ac:dyDescent="0.2">
      <c r="A127" s="3" t="s">
        <v>1</v>
      </c>
      <c r="B127" s="3" t="s">
        <v>22</v>
      </c>
      <c r="C127" s="3" t="s">
        <v>36</v>
      </c>
      <c r="D127" s="3"/>
      <c r="E127" s="21" t="s">
        <v>139</v>
      </c>
      <c r="F127" s="21"/>
      <c r="G127" s="3" t="s">
        <v>4</v>
      </c>
      <c r="H127" s="3" t="s">
        <v>37</v>
      </c>
      <c r="I127" s="7"/>
      <c r="J127" s="7"/>
      <c r="K127" s="7"/>
      <c r="L127" s="7"/>
    </row>
    <row r="128" spans="1:12" x14ac:dyDescent="0.2">
      <c r="A128" s="9" t="s">
        <v>84</v>
      </c>
      <c r="B128" s="1" t="s">
        <v>6</v>
      </c>
      <c r="D128" s="1" t="s">
        <v>130</v>
      </c>
      <c r="E128" s="1">
        <v>3</v>
      </c>
      <c r="G128" s="1">
        <f>(146*E128)</f>
        <v>438</v>
      </c>
      <c r="H128" s="1">
        <f>(12+19+27)</f>
        <v>58</v>
      </c>
      <c r="I128" s="3"/>
      <c r="J128" s="3"/>
    </row>
    <row r="129" spans="1:8" x14ac:dyDescent="0.2">
      <c r="A129" s="9">
        <v>43737</v>
      </c>
      <c r="D129" s="1" t="s">
        <v>39</v>
      </c>
      <c r="H129" s="1">
        <f>(19*4)</f>
        <v>76</v>
      </c>
    </row>
    <row r="130" spans="1:8" x14ac:dyDescent="0.2">
      <c r="A130" s="10"/>
      <c r="D130" s="1" t="s">
        <v>48</v>
      </c>
      <c r="E130" s="1">
        <v>3</v>
      </c>
      <c r="G130" s="1">
        <f t="shared" ref="G130:G164" si="5">(146*E130)</f>
        <v>438</v>
      </c>
      <c r="H130" s="1">
        <f>(12+19+27)</f>
        <v>58</v>
      </c>
    </row>
    <row r="131" spans="1:8" x14ac:dyDescent="0.2">
      <c r="A131" s="10"/>
    </row>
    <row r="132" spans="1:8" x14ac:dyDescent="0.2">
      <c r="A132" s="10" t="s">
        <v>85</v>
      </c>
      <c r="B132" s="1" t="s">
        <v>120</v>
      </c>
      <c r="D132" s="1" t="s">
        <v>130</v>
      </c>
      <c r="E132" s="1">
        <v>3</v>
      </c>
      <c r="G132" s="1">
        <f t="shared" si="5"/>
        <v>438</v>
      </c>
      <c r="H132" s="1">
        <f>(19*4)</f>
        <v>76</v>
      </c>
    </row>
    <row r="133" spans="1:8" x14ac:dyDescent="0.2">
      <c r="A133" s="9">
        <v>43747</v>
      </c>
      <c r="B133" s="1" t="s">
        <v>121</v>
      </c>
      <c r="D133" s="1" t="s">
        <v>39</v>
      </c>
      <c r="H133" s="1">
        <f>(3*19)</f>
        <v>57</v>
      </c>
    </row>
    <row r="134" spans="1:8" x14ac:dyDescent="0.2">
      <c r="A134" s="10"/>
      <c r="B134" s="1" t="s">
        <v>122</v>
      </c>
    </row>
    <row r="135" spans="1:8" x14ac:dyDescent="0.2">
      <c r="A135" s="11"/>
    </row>
    <row r="136" spans="1:8" x14ac:dyDescent="0.2">
      <c r="A136" s="9"/>
    </row>
    <row r="137" spans="1:8" x14ac:dyDescent="0.2">
      <c r="A137" s="10" t="s">
        <v>98</v>
      </c>
      <c r="B137" s="1" t="s">
        <v>140</v>
      </c>
      <c r="D137" s="1" t="s">
        <v>130</v>
      </c>
      <c r="E137" s="1">
        <v>1</v>
      </c>
      <c r="G137" s="1">
        <f t="shared" si="5"/>
        <v>146</v>
      </c>
      <c r="H137" s="1">
        <f>(12+19+27)</f>
        <v>58</v>
      </c>
    </row>
    <row r="138" spans="1:8" x14ac:dyDescent="0.2">
      <c r="A138" s="9">
        <v>43753</v>
      </c>
      <c r="D138" s="1" t="s">
        <v>39</v>
      </c>
      <c r="H138" s="1">
        <f>(2*19)</f>
        <v>38</v>
      </c>
    </row>
    <row r="139" spans="1:8" x14ac:dyDescent="0.2">
      <c r="A139" s="9"/>
    </row>
    <row r="140" spans="1:8" x14ac:dyDescent="0.2">
      <c r="A140" s="9" t="s">
        <v>168</v>
      </c>
      <c r="B140" s="1" t="s">
        <v>123</v>
      </c>
      <c r="D140" s="1" t="s">
        <v>130</v>
      </c>
      <c r="H140" s="1">
        <f>(19*2)</f>
        <v>38</v>
      </c>
    </row>
    <row r="141" spans="1:8" x14ac:dyDescent="0.2">
      <c r="A141" s="9">
        <v>43758</v>
      </c>
      <c r="D141" s="1" t="s">
        <v>39</v>
      </c>
      <c r="E141" s="1">
        <v>1</v>
      </c>
      <c r="G141" s="1">
        <f t="shared" si="5"/>
        <v>146</v>
      </c>
      <c r="H141" s="1">
        <f>(12+19+27)</f>
        <v>58</v>
      </c>
    </row>
    <row r="142" spans="1:8" x14ac:dyDescent="0.2">
      <c r="A142" s="9"/>
      <c r="D142" s="1" t="s">
        <v>48</v>
      </c>
      <c r="H142" s="1">
        <f>(19*2)</f>
        <v>38</v>
      </c>
    </row>
    <row r="143" spans="1:8" x14ac:dyDescent="0.2">
      <c r="A143" s="9"/>
    </row>
    <row r="144" spans="1:8" x14ac:dyDescent="0.2">
      <c r="A144" s="10" t="s">
        <v>102</v>
      </c>
      <c r="B144" s="1" t="s">
        <v>124</v>
      </c>
      <c r="D144" s="1" t="s">
        <v>130</v>
      </c>
      <c r="H144" s="1">
        <f>(19*2)</f>
        <v>38</v>
      </c>
    </row>
    <row r="145" spans="1:8" x14ac:dyDescent="0.2">
      <c r="A145" s="9">
        <v>43783</v>
      </c>
      <c r="D145" s="1" t="s">
        <v>39</v>
      </c>
      <c r="E145" s="1">
        <v>1</v>
      </c>
      <c r="G145" s="1">
        <f t="shared" si="5"/>
        <v>146</v>
      </c>
      <c r="H145" s="1">
        <f>(12+19+27)</f>
        <v>58</v>
      </c>
    </row>
    <row r="146" spans="1:8" x14ac:dyDescent="0.2">
      <c r="A146" s="9"/>
    </row>
    <row r="147" spans="1:8" x14ac:dyDescent="0.2">
      <c r="A147" s="10" t="s">
        <v>104</v>
      </c>
      <c r="B147" s="1" t="s">
        <v>125</v>
      </c>
      <c r="D147" s="1" t="s">
        <v>130</v>
      </c>
      <c r="E147" s="1">
        <v>10</v>
      </c>
      <c r="G147" s="1">
        <f t="shared" si="5"/>
        <v>1460</v>
      </c>
      <c r="H147" s="1">
        <f>(12+19+27)</f>
        <v>58</v>
      </c>
    </row>
    <row r="148" spans="1:8" x14ac:dyDescent="0.2">
      <c r="A148" s="9">
        <v>43796</v>
      </c>
      <c r="B148" s="1" t="s">
        <v>126</v>
      </c>
      <c r="D148" s="1" t="s">
        <v>39</v>
      </c>
      <c r="E148" s="1">
        <v>10</v>
      </c>
      <c r="G148" s="1">
        <f t="shared" si="5"/>
        <v>1460</v>
      </c>
      <c r="H148" s="1">
        <f>(12+19+27)</f>
        <v>58</v>
      </c>
    </row>
    <row r="149" spans="1:8" x14ac:dyDescent="0.2">
      <c r="A149" s="9"/>
      <c r="B149" s="1" t="s">
        <v>127</v>
      </c>
      <c r="D149" s="1" t="s">
        <v>48</v>
      </c>
      <c r="E149" s="1">
        <v>10</v>
      </c>
      <c r="G149" s="1">
        <f t="shared" si="5"/>
        <v>1460</v>
      </c>
      <c r="H149" s="1">
        <f>12+19+27</f>
        <v>58</v>
      </c>
    </row>
    <row r="150" spans="1:8" x14ac:dyDescent="0.2">
      <c r="A150" s="10"/>
      <c r="B150" s="1" t="s">
        <v>128</v>
      </c>
    </row>
    <row r="151" spans="1:8" x14ac:dyDescent="0.2">
      <c r="A151" s="10"/>
    </row>
    <row r="152" spans="1:8" x14ac:dyDescent="0.2">
      <c r="A152" s="9"/>
    </row>
    <row r="153" spans="1:8" x14ac:dyDescent="0.2">
      <c r="A153" s="9" t="s">
        <v>109</v>
      </c>
      <c r="B153" s="1" t="s">
        <v>111</v>
      </c>
      <c r="D153" s="1" t="s">
        <v>130</v>
      </c>
      <c r="H153" s="1">
        <f>19*2</f>
        <v>38</v>
      </c>
    </row>
    <row r="154" spans="1:8" x14ac:dyDescent="0.2">
      <c r="A154" s="9">
        <v>43851</v>
      </c>
      <c r="D154" s="1" t="s">
        <v>39</v>
      </c>
      <c r="E154" s="1">
        <v>1</v>
      </c>
      <c r="G154" s="1">
        <f t="shared" si="5"/>
        <v>146</v>
      </c>
      <c r="H154" s="1">
        <f>(12+19+27)</f>
        <v>58</v>
      </c>
    </row>
    <row r="155" spans="1:8" x14ac:dyDescent="0.2">
      <c r="A155" s="9"/>
      <c r="D155" s="1" t="s">
        <v>48</v>
      </c>
      <c r="H155" s="1">
        <f>(19*2)</f>
        <v>38</v>
      </c>
    </row>
    <row r="156" spans="1:8" x14ac:dyDescent="0.2">
      <c r="A156" s="9"/>
    </row>
    <row r="157" spans="1:8" x14ac:dyDescent="0.2">
      <c r="A157" s="10" t="s">
        <v>112</v>
      </c>
      <c r="B157" s="1" t="s">
        <v>120</v>
      </c>
      <c r="D157" s="1" t="s">
        <v>130</v>
      </c>
      <c r="E157" s="1">
        <v>3</v>
      </c>
      <c r="G157" s="1">
        <f t="shared" si="5"/>
        <v>438</v>
      </c>
      <c r="H157" s="1">
        <f>(12+19+27)</f>
        <v>58</v>
      </c>
    </row>
    <row r="158" spans="1:8" x14ac:dyDescent="0.2">
      <c r="A158" s="9">
        <v>43508</v>
      </c>
      <c r="B158" s="1" t="s">
        <v>121</v>
      </c>
      <c r="D158" s="1" t="s">
        <v>39</v>
      </c>
      <c r="H158" s="1">
        <f>(19*3)</f>
        <v>57</v>
      </c>
    </row>
    <row r="159" spans="1:8" x14ac:dyDescent="0.2">
      <c r="A159" s="9"/>
      <c r="B159" s="1" t="s">
        <v>122</v>
      </c>
    </row>
    <row r="160" spans="1:8" x14ac:dyDescent="0.2">
      <c r="A160" s="9"/>
    </row>
    <row r="161" spans="1:11" x14ac:dyDescent="0.2">
      <c r="A161" s="9"/>
    </row>
    <row r="162" spans="1:11" x14ac:dyDescent="0.2">
      <c r="A162" s="9" t="s">
        <v>169</v>
      </c>
      <c r="B162" s="1" t="s">
        <v>129</v>
      </c>
      <c r="D162" s="1" t="s">
        <v>130</v>
      </c>
      <c r="H162" s="1">
        <f>(19*5)</f>
        <v>95</v>
      </c>
    </row>
    <row r="163" spans="1:11" x14ac:dyDescent="0.2">
      <c r="A163" s="9">
        <v>43930</v>
      </c>
      <c r="D163" s="1" t="s">
        <v>39</v>
      </c>
      <c r="E163" s="1">
        <v>4</v>
      </c>
      <c r="G163" s="1">
        <f t="shared" si="5"/>
        <v>584</v>
      </c>
      <c r="H163" s="1">
        <f>(12+19+27)</f>
        <v>58</v>
      </c>
    </row>
    <row r="164" spans="1:11" x14ac:dyDescent="0.2">
      <c r="A164" s="9"/>
      <c r="B164" s="15"/>
      <c r="D164" s="1" t="s">
        <v>48</v>
      </c>
      <c r="E164" s="1">
        <v>4</v>
      </c>
      <c r="G164" s="1">
        <f t="shared" si="5"/>
        <v>584</v>
      </c>
      <c r="H164" s="1">
        <f>(12+19+27)</f>
        <v>58</v>
      </c>
    </row>
    <row r="165" spans="1:11" x14ac:dyDescent="0.2">
      <c r="A165" s="2"/>
    </row>
    <row r="166" spans="1:11" x14ac:dyDescent="0.2">
      <c r="A166" s="22" t="s">
        <v>7</v>
      </c>
      <c r="B166" s="17"/>
      <c r="C166" s="17"/>
      <c r="D166" s="17"/>
      <c r="E166" s="17"/>
      <c r="F166" s="17"/>
      <c r="G166" s="17">
        <f>SUM(G128:G165)</f>
        <v>7884</v>
      </c>
      <c r="H166" s="17">
        <f>SUM(H128:H165)</f>
        <v>1285</v>
      </c>
      <c r="I166" s="19"/>
      <c r="J166" s="19"/>
      <c r="K166" s="19"/>
    </row>
    <row r="167" spans="1:11" x14ac:dyDescent="0.2">
      <c r="A167" s="2"/>
    </row>
    <row r="168" spans="1:11" x14ac:dyDescent="0.2">
      <c r="A168" s="6" t="s">
        <v>11</v>
      </c>
      <c r="B168" s="6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">
      <c r="A169" s="5"/>
    </row>
    <row r="170" spans="1:11" x14ac:dyDescent="0.2">
      <c r="A170" s="3" t="s">
        <v>12</v>
      </c>
      <c r="B170" s="5"/>
      <c r="C170" s="5"/>
      <c r="D170" s="5"/>
      <c r="E170" s="5"/>
      <c r="F170" s="7" t="s">
        <v>143</v>
      </c>
      <c r="G170" s="5"/>
      <c r="H170" s="7" t="s">
        <v>145</v>
      </c>
      <c r="I170" s="5"/>
    </row>
    <row r="171" spans="1:11" x14ac:dyDescent="0.2">
      <c r="A171" s="1" t="s">
        <v>9</v>
      </c>
      <c r="B171" s="3"/>
      <c r="C171" s="3"/>
      <c r="D171" s="1" t="s">
        <v>141</v>
      </c>
      <c r="F171" s="1">
        <v>21</v>
      </c>
      <c r="H171" s="1">
        <f>(10*F171)</f>
        <v>210</v>
      </c>
    </row>
    <row r="172" spans="1:11" x14ac:dyDescent="0.2">
      <c r="A172" s="1" t="s">
        <v>5</v>
      </c>
      <c r="D172" s="1" t="s">
        <v>142</v>
      </c>
      <c r="F172" s="1">
        <v>21</v>
      </c>
      <c r="H172" s="1">
        <f>(15*F172)</f>
        <v>315</v>
      </c>
    </row>
    <row r="173" spans="1:11" x14ac:dyDescent="0.2">
      <c r="A173" s="1" t="s">
        <v>10</v>
      </c>
      <c r="D173" s="1" t="s">
        <v>142</v>
      </c>
      <c r="F173" s="1">
        <v>21</v>
      </c>
      <c r="H173" s="1">
        <f>(15*F173)</f>
        <v>315</v>
      </c>
    </row>
    <row r="174" spans="1:11" x14ac:dyDescent="0.2">
      <c r="A174" s="3"/>
      <c r="B174" s="3"/>
      <c r="C174" s="3"/>
      <c r="D174" s="3"/>
      <c r="E174" s="3"/>
      <c r="F174" s="3"/>
      <c r="G174" s="3"/>
      <c r="H174" s="3"/>
    </row>
    <row r="176" spans="1:11" x14ac:dyDescent="0.2">
      <c r="A176" s="3" t="s">
        <v>13</v>
      </c>
    </row>
    <row r="177" spans="1:11" x14ac:dyDescent="0.2">
      <c r="A177" s="1" t="s">
        <v>9</v>
      </c>
      <c r="B177" s="3"/>
      <c r="D177" s="1" t="s">
        <v>18</v>
      </c>
      <c r="F177" s="1">
        <v>8</v>
      </c>
      <c r="H177" s="1">
        <f>(40*F177)</f>
        <v>320</v>
      </c>
    </row>
    <row r="178" spans="1:11" x14ac:dyDescent="0.2">
      <c r="A178" s="1" t="s">
        <v>14</v>
      </c>
      <c r="D178" s="1" t="s">
        <v>21</v>
      </c>
      <c r="F178" s="1">
        <v>8</v>
      </c>
      <c r="H178" s="1">
        <f>(100*F178)</f>
        <v>800</v>
      </c>
    </row>
    <row r="179" spans="1:11" x14ac:dyDescent="0.2">
      <c r="A179" s="1" t="s">
        <v>10</v>
      </c>
      <c r="D179" s="1" t="s">
        <v>17</v>
      </c>
      <c r="F179" s="1">
        <v>8</v>
      </c>
      <c r="H179" s="1">
        <f>(100*F179)</f>
        <v>800</v>
      </c>
    </row>
    <row r="180" spans="1:11" x14ac:dyDescent="0.2">
      <c r="A180" s="1" t="s">
        <v>20</v>
      </c>
      <c r="D180" s="1" t="s">
        <v>16</v>
      </c>
      <c r="F180" s="1">
        <v>8</v>
      </c>
      <c r="H180" s="1">
        <f>(46*F180)</f>
        <v>368</v>
      </c>
    </row>
    <row r="181" spans="1:11" x14ac:dyDescent="0.2">
      <c r="A181" s="1" t="s">
        <v>15</v>
      </c>
      <c r="D181" s="1" t="s">
        <v>19</v>
      </c>
      <c r="F181" s="1">
        <v>8</v>
      </c>
      <c r="H181" s="1">
        <f>(22*F181)</f>
        <v>176</v>
      </c>
    </row>
    <row r="183" spans="1:11" x14ac:dyDescent="0.2">
      <c r="A183" s="3" t="s">
        <v>144</v>
      </c>
      <c r="B183" s="5"/>
      <c r="C183" s="5"/>
    </row>
    <row r="184" spans="1:11" x14ac:dyDescent="0.2">
      <c r="A184" s="1" t="s">
        <v>5</v>
      </c>
      <c r="D184" s="1" t="s">
        <v>142</v>
      </c>
      <c r="F184" s="1">
        <v>3</v>
      </c>
      <c r="H184" s="1">
        <v>45</v>
      </c>
    </row>
    <row r="185" spans="1:11" x14ac:dyDescent="0.2">
      <c r="A185" s="1" t="s">
        <v>10</v>
      </c>
      <c r="D185" s="1" t="s">
        <v>142</v>
      </c>
      <c r="F185" s="1">
        <v>3</v>
      </c>
      <c r="H185" s="1">
        <f>(15*F185)</f>
        <v>45</v>
      </c>
    </row>
    <row r="187" spans="1:11" x14ac:dyDescent="0.2">
      <c r="A187" s="17" t="s">
        <v>7</v>
      </c>
      <c r="B187" s="17"/>
      <c r="C187" s="17"/>
      <c r="D187" s="17"/>
      <c r="E187" s="17"/>
      <c r="F187" s="17"/>
      <c r="G187" s="17"/>
      <c r="H187" s="17">
        <f>SUM(H171:H186)</f>
        <v>3394</v>
      </c>
      <c r="I187" s="19"/>
      <c r="J187" s="19"/>
      <c r="K187" s="19"/>
    </row>
    <row r="188" spans="1:11" x14ac:dyDescent="0.2">
      <c r="A188" s="7"/>
      <c r="B188" s="7"/>
      <c r="C188" s="7"/>
      <c r="D188" s="7"/>
      <c r="E188" s="7"/>
      <c r="F188" s="7"/>
      <c r="G188" s="7"/>
      <c r="H188" s="7"/>
      <c r="I188" s="5"/>
      <c r="J188" s="5"/>
      <c r="K188" s="5"/>
    </row>
    <row r="189" spans="1:11" x14ac:dyDescent="0.2">
      <c r="A189" s="6" t="s">
        <v>41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1" spans="1:11" x14ac:dyDescent="0.2">
      <c r="A191" s="3" t="s">
        <v>45</v>
      </c>
    </row>
    <row r="192" spans="1:11" x14ac:dyDescent="0.2">
      <c r="A192" s="1" t="s">
        <v>3</v>
      </c>
      <c r="B192" s="3"/>
      <c r="C192" s="3"/>
      <c r="D192" s="1">
        <v>150</v>
      </c>
      <c r="E192" s="3"/>
      <c r="F192" s="3"/>
      <c r="G192" s="3"/>
      <c r="H192" s="3"/>
      <c r="I192" s="3"/>
      <c r="J192" s="3"/>
      <c r="K192" s="3"/>
    </row>
    <row r="193" spans="1:9" x14ac:dyDescent="0.2">
      <c r="A193" s="1" t="s">
        <v>39</v>
      </c>
      <c r="D193" s="1">
        <v>150</v>
      </c>
    </row>
    <row r="194" spans="1:9" x14ac:dyDescent="0.2">
      <c r="A194" s="1" t="s">
        <v>170</v>
      </c>
      <c r="D194" s="1">
        <v>100</v>
      </c>
    </row>
    <row r="195" spans="1:9" x14ac:dyDescent="0.2">
      <c r="A195" s="1" t="s">
        <v>51</v>
      </c>
      <c r="D195" s="1">
        <v>40</v>
      </c>
    </row>
    <row r="196" spans="1:9" x14ac:dyDescent="0.2">
      <c r="A196" s="3" t="s">
        <v>160</v>
      </c>
      <c r="B196" s="3"/>
      <c r="C196" s="3"/>
      <c r="D196" s="3">
        <f>SUM(D192:D195)</f>
        <v>440</v>
      </c>
    </row>
    <row r="198" spans="1:9" x14ac:dyDescent="0.2">
      <c r="A198" s="3" t="s">
        <v>46</v>
      </c>
    </row>
    <row r="199" spans="1:9" x14ac:dyDescent="0.2">
      <c r="A199" s="1" t="s">
        <v>3</v>
      </c>
      <c r="B199" s="3"/>
      <c r="C199" s="3"/>
      <c r="D199" s="1">
        <v>185</v>
      </c>
      <c r="E199" s="3"/>
      <c r="F199" s="3"/>
      <c r="G199" s="3"/>
      <c r="H199" s="3"/>
      <c r="I199" s="3"/>
    </row>
    <row r="200" spans="1:9" x14ac:dyDescent="0.2">
      <c r="A200" s="1" t="s">
        <v>39</v>
      </c>
      <c r="D200" s="1">
        <v>185</v>
      </c>
    </row>
    <row r="201" spans="1:9" x14ac:dyDescent="0.2">
      <c r="A201" s="1" t="s">
        <v>48</v>
      </c>
      <c r="D201" s="1">
        <v>150</v>
      </c>
    </row>
    <row r="202" spans="1:9" x14ac:dyDescent="0.2">
      <c r="A202" s="1" t="s">
        <v>47</v>
      </c>
      <c r="D202" s="1">
        <v>250</v>
      </c>
    </row>
    <row r="203" spans="1:9" x14ac:dyDescent="0.2">
      <c r="A203" s="1" t="s">
        <v>51</v>
      </c>
      <c r="D203" s="1">
        <v>125</v>
      </c>
    </row>
    <row r="204" spans="1:9" x14ac:dyDescent="0.2">
      <c r="A204" s="1" t="s">
        <v>60</v>
      </c>
      <c r="D204" s="1">
        <v>50</v>
      </c>
    </row>
    <row r="205" spans="1:9" x14ac:dyDescent="0.2">
      <c r="A205" s="1" t="s">
        <v>49</v>
      </c>
      <c r="D205" s="1">
        <v>65</v>
      </c>
    </row>
    <row r="206" spans="1:9" x14ac:dyDescent="0.2">
      <c r="A206" s="1" t="s">
        <v>59</v>
      </c>
      <c r="D206" s="1">
        <v>200</v>
      </c>
    </row>
    <row r="207" spans="1:9" x14ac:dyDescent="0.2">
      <c r="A207" s="3" t="s">
        <v>164</v>
      </c>
      <c r="D207" s="3">
        <f>SUM(D199:D206)</f>
        <v>1210</v>
      </c>
    </row>
    <row r="209" spans="1:11" x14ac:dyDescent="0.2">
      <c r="A209" s="6" t="s">
        <v>42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 x14ac:dyDescent="0.2">
      <c r="A210" s="5" t="s">
        <v>58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">
      <c r="A211" s="1" t="s">
        <v>43</v>
      </c>
      <c r="B211" s="5"/>
      <c r="C211" s="5"/>
      <c r="D211" s="5"/>
    </row>
    <row r="212" spans="1:11" x14ac:dyDescent="0.2">
      <c r="A212" s="1" t="s">
        <v>167</v>
      </c>
    </row>
    <row r="213" spans="1:11" x14ac:dyDescent="0.2">
      <c r="A213" s="1" t="s">
        <v>44</v>
      </c>
    </row>
    <row r="215" spans="1:11" x14ac:dyDescent="0.2">
      <c r="A215" s="6" t="s">
        <v>172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">
      <c r="A216" s="7" t="s">
        <v>147</v>
      </c>
      <c r="B216" s="5"/>
      <c r="C216" s="5"/>
      <c r="D216" s="5"/>
      <c r="E216" s="5">
        <f>(15/100*26700)</f>
        <v>4005</v>
      </c>
      <c r="F216" s="5"/>
      <c r="G216" s="5"/>
      <c r="H216" s="5"/>
      <c r="I216" s="5"/>
      <c r="J216" s="5"/>
      <c r="K216" s="5"/>
    </row>
    <row r="217" spans="1:11" x14ac:dyDescent="0.2">
      <c r="A217" s="5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">
      <c r="A218" s="5" t="s">
        <v>171</v>
      </c>
      <c r="B218" s="5"/>
      <c r="C218" s="5"/>
      <c r="D218" s="5"/>
      <c r="E218" s="5">
        <v>3105</v>
      </c>
      <c r="F218" s="5"/>
      <c r="G218" s="5"/>
      <c r="H218" s="5"/>
      <c r="I218" s="5"/>
      <c r="J218" s="5"/>
      <c r="K218" s="5"/>
    </row>
    <row r="219" spans="1:11" x14ac:dyDescent="0.2">
      <c r="A219" s="1" t="s">
        <v>149</v>
      </c>
      <c r="C219" s="1" t="s">
        <v>165</v>
      </c>
      <c r="E219" s="1">
        <v>600</v>
      </c>
    </row>
    <row r="220" spans="1:11" x14ac:dyDescent="0.2">
      <c r="A220" s="1" t="s">
        <v>150</v>
      </c>
      <c r="E220" s="1">
        <v>300</v>
      </c>
    </row>
    <row r="223" spans="1:11" x14ac:dyDescent="0.2">
      <c r="A223" s="6" t="s">
        <v>50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">
      <c r="A224" s="7" t="s">
        <v>148</v>
      </c>
      <c r="B224" s="5"/>
      <c r="C224" s="5"/>
      <c r="D224" s="7"/>
      <c r="E224" s="7">
        <f>(10/100*26700)</f>
        <v>2670</v>
      </c>
      <c r="F224" s="5"/>
      <c r="G224" s="5"/>
      <c r="H224" s="5"/>
      <c r="I224" s="5"/>
      <c r="J224" s="5"/>
      <c r="K224" s="5"/>
    </row>
    <row r="225" spans="1:11" x14ac:dyDescent="0.2">
      <c r="A225" s="7"/>
      <c r="B225" s="5"/>
      <c r="C225" s="5"/>
      <c r="D225" s="7"/>
      <c r="F225" s="5"/>
      <c r="G225" s="5"/>
      <c r="H225" s="5"/>
      <c r="I225" s="5"/>
      <c r="J225" s="5"/>
      <c r="K225" s="5"/>
    </row>
    <row r="226" spans="1:11" x14ac:dyDescent="0.2">
      <c r="A226" s="1" t="s">
        <v>53</v>
      </c>
      <c r="B226" s="7"/>
      <c r="C226" s="7"/>
      <c r="E226" s="1">
        <f>(40*12)</f>
        <v>480</v>
      </c>
      <c r="F226" s="1" t="s">
        <v>153</v>
      </c>
      <c r="G226" s="7"/>
      <c r="H226" s="7"/>
      <c r="I226" s="7"/>
      <c r="J226" s="7"/>
      <c r="K226" s="7"/>
    </row>
    <row r="227" spans="1:11" x14ac:dyDescent="0.2">
      <c r="A227" s="1" t="s">
        <v>52</v>
      </c>
      <c r="E227" s="1">
        <v>1100</v>
      </c>
      <c r="F227" s="1" t="s">
        <v>151</v>
      </c>
    </row>
    <row r="228" spans="1:11" x14ac:dyDescent="0.2">
      <c r="A228" s="1" t="s">
        <v>54</v>
      </c>
      <c r="E228" s="1">
        <v>65</v>
      </c>
    </row>
    <row r="229" spans="1:11" x14ac:dyDescent="0.2">
      <c r="A229" s="1" t="s">
        <v>55</v>
      </c>
      <c r="E229" s="1">
        <v>80</v>
      </c>
    </row>
    <row r="230" spans="1:11" x14ac:dyDescent="0.2">
      <c r="A230" s="1" t="s">
        <v>56</v>
      </c>
      <c r="E230" s="1">
        <v>60</v>
      </c>
    </row>
    <row r="231" spans="1:11" x14ac:dyDescent="0.2">
      <c r="A231" s="1" t="s">
        <v>57</v>
      </c>
      <c r="E231" s="1">
        <v>84</v>
      </c>
    </row>
    <row r="232" spans="1:11" x14ac:dyDescent="0.2">
      <c r="A232" s="1" t="s">
        <v>152</v>
      </c>
      <c r="E232" s="1">
        <f>(3/100*26700)</f>
        <v>801</v>
      </c>
    </row>
    <row r="233" spans="1:11" x14ac:dyDescent="0.2">
      <c r="A233" s="17" t="s">
        <v>7</v>
      </c>
      <c r="B233" s="17"/>
      <c r="C233" s="17"/>
      <c r="D233" s="17"/>
      <c r="E233" s="17">
        <f>SUM(E226:E232)</f>
        <v>2670</v>
      </c>
      <c r="F233" s="19"/>
      <c r="G233" s="19"/>
      <c r="H233" s="19"/>
      <c r="I233" s="19"/>
      <c r="J233" s="19"/>
      <c r="K233" s="19"/>
    </row>
    <row r="236" spans="1:11" x14ac:dyDescent="0.2">
      <c r="A236" s="23" t="s">
        <v>146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x14ac:dyDescent="0.2">
      <c r="A237" s="1" t="s">
        <v>154</v>
      </c>
      <c r="D237" s="1" t="s">
        <v>155</v>
      </c>
      <c r="F237" s="1" t="s">
        <v>156</v>
      </c>
      <c r="I237" s="1">
        <v>600</v>
      </c>
    </row>
    <row r="238" spans="1:11" x14ac:dyDescent="0.2">
      <c r="A238" s="1" t="s">
        <v>157</v>
      </c>
      <c r="D238" s="1" t="s">
        <v>158</v>
      </c>
    </row>
    <row r="239" spans="1:11" x14ac:dyDescent="0.2">
      <c r="B239" s="1" t="s">
        <v>159</v>
      </c>
    </row>
    <row r="240" spans="1:11" x14ac:dyDescent="0.2">
      <c r="B240" s="1" t="s">
        <v>161</v>
      </c>
      <c r="H240" s="1">
        <f>(440*24)</f>
        <v>10560</v>
      </c>
    </row>
    <row r="241" spans="1:11" x14ac:dyDescent="0.2">
      <c r="B241" s="1" t="s">
        <v>162</v>
      </c>
      <c r="H241" s="1">
        <f>(D207*8)</f>
        <v>9680</v>
      </c>
    </row>
    <row r="242" spans="1:11" x14ac:dyDescent="0.2">
      <c r="B242" s="1" t="s">
        <v>163</v>
      </c>
      <c r="H242" s="1">
        <f>(4005+2670)</f>
        <v>6675</v>
      </c>
    </row>
    <row r="243" spans="1:11" x14ac:dyDescent="0.2">
      <c r="B243" s="3" t="s">
        <v>160</v>
      </c>
      <c r="H243" s="3">
        <f>SUM(H240:H242)</f>
        <v>26915</v>
      </c>
      <c r="I243" s="1">
        <f>(1.53/100*H243)</f>
        <v>411.79950000000002</v>
      </c>
    </row>
    <row r="244" spans="1:11" x14ac:dyDescent="0.2">
      <c r="A244" s="17" t="s">
        <v>7</v>
      </c>
      <c r="B244" s="17"/>
      <c r="C244" s="17"/>
      <c r="D244" s="17"/>
      <c r="E244" s="17"/>
      <c r="F244" s="17"/>
      <c r="G244" s="17"/>
      <c r="H244" s="17"/>
      <c r="I244" s="17">
        <f>SUM(I237:I243)</f>
        <v>1011.7995000000001</v>
      </c>
      <c r="J244" s="19"/>
      <c r="K244" s="19"/>
    </row>
  </sheetData>
  <printOptions gridLines="1"/>
  <pageMargins left="0.7" right="0.7" top="0.75" bottom="0.75" header="0.3" footer="0.3"/>
  <pageSetup orientation="landscape" r:id="rId1"/>
  <ignoredErrors>
    <ignoredError sqref="H129 H1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gaulin</dc:creator>
  <cp:lastModifiedBy>karine gaulin</cp:lastModifiedBy>
  <dcterms:created xsi:type="dcterms:W3CDTF">2018-11-12T21:18:45Z</dcterms:created>
  <dcterms:modified xsi:type="dcterms:W3CDTF">2019-06-25T19:34:32Z</dcterms:modified>
</cp:coreProperties>
</file>