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arine\CHEMINS ERRANTS\OBNL\Demandes de subventions\CALQ tournée automne 2021\"/>
    </mc:Choice>
  </mc:AlternateContent>
  <xr:revisionPtr revIDLastSave="0" documentId="13_ncr:1_{627A332E-DE98-4B2D-80CF-6B7CBC12FF93}" xr6:coauthVersionLast="47" xr6:coauthVersionMax="47" xr10:uidLastSave="{00000000-0000-0000-0000-000000000000}"/>
  <bookViews>
    <workbookView xWindow="-120" yWindow="-120" windowWidth="20730" windowHeight="11160" xr2:uid="{A13067A0-5C25-47F8-B9E9-C0790B8BE278}"/>
  </bookViews>
  <sheets>
    <sheet name="Détails budget" sheetId="1" r:id="rId1"/>
    <sheet name="Soumis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196" i="1"/>
  <c r="F174" i="1"/>
  <c r="H80" i="1"/>
  <c r="C49" i="1"/>
  <c r="H99" i="1"/>
  <c r="G202" i="1"/>
  <c r="F189" i="1"/>
  <c r="F188" i="1"/>
  <c r="F176" i="1"/>
  <c r="F177" i="1"/>
  <c r="F175" i="1"/>
  <c r="H158" i="1"/>
  <c r="H157" i="1"/>
  <c r="H130" i="1"/>
  <c r="F178" i="1" l="1"/>
  <c r="F190" i="1"/>
  <c r="F198" i="1" s="1"/>
  <c r="D207" i="1" l="1"/>
  <c r="G207" i="1" s="1"/>
  <c r="H124" i="1"/>
  <c r="O40" i="1"/>
  <c r="N35" i="1"/>
  <c r="O30" i="1"/>
  <c r="H165" i="1"/>
  <c r="H167" i="1"/>
  <c r="H166" i="1"/>
  <c r="H129" i="1"/>
  <c r="F128" i="1"/>
  <c r="H128" i="1" s="1"/>
  <c r="H125" i="1"/>
  <c r="H123" i="1"/>
  <c r="H122" i="1"/>
  <c r="H121" i="1"/>
  <c r="H169" i="1" l="1"/>
  <c r="G98" i="1"/>
  <c r="G97" i="1"/>
  <c r="G94" i="1"/>
  <c r="G95" i="1"/>
  <c r="G91" i="1"/>
  <c r="K83" i="1"/>
  <c r="H77" i="1"/>
  <c r="H83" i="1" s="1"/>
  <c r="K53" i="1"/>
  <c r="J41" i="1"/>
  <c r="J40" i="1"/>
  <c r="J39" i="1"/>
  <c r="J38" i="1"/>
  <c r="J35" i="1"/>
  <c r="J30" i="1"/>
  <c r="J31" i="1"/>
  <c r="J29" i="1"/>
  <c r="F14" i="1"/>
  <c r="H140" i="1"/>
  <c r="H139" i="1"/>
  <c r="H138" i="1"/>
  <c r="H137" i="1"/>
  <c r="H136" i="1"/>
  <c r="H135" i="1"/>
  <c r="H134" i="1"/>
  <c r="H113" i="1"/>
  <c r="H112" i="1"/>
  <c r="H111" i="1"/>
  <c r="H110" i="1"/>
  <c r="H109" i="1"/>
  <c r="H142" i="1" l="1"/>
  <c r="D205" i="1" s="1"/>
  <c r="G205" i="1" s="1"/>
  <c r="C33" i="1"/>
  <c r="C43" i="1"/>
  <c r="G195" i="1"/>
  <c r="C186" i="1"/>
  <c r="F16" i="1"/>
  <c r="C172" i="1"/>
  <c r="H155" i="1"/>
  <c r="H148" i="1"/>
  <c r="H151" i="1"/>
  <c r="H152" i="1"/>
  <c r="H153" i="1"/>
  <c r="H154" i="1"/>
  <c r="F183" i="1" l="1"/>
  <c r="G104" i="1"/>
  <c r="H147" i="1" l="1"/>
  <c r="H146" i="1"/>
  <c r="H162" i="1" s="1"/>
  <c r="D206" i="1" s="1"/>
  <c r="G206" i="1" s="1"/>
  <c r="G208" i="1" s="1"/>
  <c r="G211" i="1" s="1"/>
  <c r="H108" i="1"/>
  <c r="O53" i="1"/>
  <c r="N83" i="1"/>
  <c r="I83" i="1" l="1"/>
  <c r="H84" i="1" s="1"/>
  <c r="I211" i="1" l="1"/>
  <c r="M53" i="1"/>
  <c r="H104" i="1" l="1"/>
  <c r="H117" i="1"/>
  <c r="L53" i="1"/>
  <c r="J53" i="1"/>
  <c r="N53" i="1"/>
  <c r="H53" i="1"/>
  <c r="C54" i="1" s="1"/>
  <c r="H105" i="1" l="1"/>
</calcChain>
</file>

<file path=xl/sharedStrings.xml><?xml version="1.0" encoding="utf-8"?>
<sst xmlns="http://schemas.openxmlformats.org/spreadsheetml/2006/main" count="317" uniqueCount="180">
  <si>
    <t>ANNEXE AU BUDGET- DÉTAILS DES CALCULS</t>
  </si>
  <si>
    <t>Date</t>
  </si>
  <si>
    <t>Interprète</t>
  </si>
  <si>
    <t>Coût</t>
  </si>
  <si>
    <t>TOTAL</t>
  </si>
  <si>
    <t>stationnement</t>
  </si>
  <si>
    <t>CALCULS DES Droits de suite</t>
  </si>
  <si>
    <t>Destination</t>
  </si>
  <si>
    <t>Carburant</t>
  </si>
  <si>
    <t>Assurances</t>
  </si>
  <si>
    <t>Production</t>
  </si>
  <si>
    <t>Distance A/R</t>
  </si>
  <si>
    <t>$ Kilométrage</t>
  </si>
  <si>
    <t>Personnel</t>
  </si>
  <si>
    <t>Indemnité km</t>
  </si>
  <si>
    <t>Calcul hébergement/perdiem</t>
  </si>
  <si>
    <t>Personnel en déplacement</t>
  </si>
  <si>
    <t>Repas en sus</t>
  </si>
  <si>
    <t>Repas additionnels pour les journes sans hébergement: déjeuner: 12$, dîner19$, souper 27$</t>
  </si>
  <si>
    <t>Musicienne</t>
  </si>
  <si>
    <t>Coût de location</t>
  </si>
  <si>
    <t>CALCULS LOCATION D'ÉQUIPEMENT ET DE MATÉRIEL</t>
  </si>
  <si>
    <t>FRAIS D'ADMINISTRATION</t>
  </si>
  <si>
    <t>Direction de tournée</t>
  </si>
  <si>
    <t>Honoraires comptable</t>
  </si>
  <si>
    <t>Frais bancaires</t>
  </si>
  <si>
    <t>Location de logiciel comptable</t>
  </si>
  <si>
    <t>Hébergement du site internet</t>
  </si>
  <si>
    <t>DÉPLACEMENT DE LA SCÉNOGRAPHIE</t>
  </si>
  <si>
    <t>Moyen de transport</t>
  </si>
  <si>
    <t>Itinéraire</t>
  </si>
  <si>
    <t>Frais de conduite</t>
  </si>
  <si>
    <t>Nb Jours location</t>
  </si>
  <si>
    <t>Productions:</t>
  </si>
  <si>
    <t>TRANSPORT DU PERSONNEL - NOTES EXPLICATIVES</t>
  </si>
  <si>
    <t>Comédienne</t>
  </si>
  <si>
    <t>Nb de jours indemnité complète</t>
  </si>
  <si>
    <t>ASSURANCES</t>
  </si>
  <si>
    <t>Impressions</t>
  </si>
  <si>
    <t>Assurances responsabilité civile</t>
  </si>
  <si>
    <t>Vézina assurances</t>
  </si>
  <si>
    <t>au pro-rata du contrat annuel</t>
  </si>
  <si>
    <t>Assurances CNESST</t>
  </si>
  <si>
    <t>salaires estimés</t>
  </si>
  <si>
    <t>Total</t>
  </si>
  <si>
    <t>Déplacements sur place pendant tournée</t>
  </si>
  <si>
    <t>Fonds de roulement de la cie, 3%</t>
  </si>
  <si>
    <t>TOTAL tous coûts</t>
  </si>
  <si>
    <t>SOUS- TOTAL</t>
  </si>
  <si>
    <t>SOUMISSIONS TRANSPORT &amp; DÉPLACEMENTS</t>
  </si>
  <si>
    <t>LES CHEMINS ERRANTS</t>
  </si>
  <si>
    <t>Load/deload</t>
  </si>
  <si>
    <t>(sans coucher)</t>
  </si>
  <si>
    <t>Droits/rep.</t>
  </si>
  <si>
    <t>Nombre</t>
  </si>
  <si>
    <t>CALCULS des cachets et des salaires: REPRÉSENTATIONS</t>
  </si>
  <si>
    <t>Nombre rep.</t>
  </si>
  <si>
    <t>Tarif/jour</t>
  </si>
  <si>
    <t>SOUS-TOTAL</t>
  </si>
  <si>
    <t>Honoraires ADMINISTRATION</t>
  </si>
  <si>
    <t>Frais d'envoi postaux</t>
  </si>
  <si>
    <t>Répétitions</t>
  </si>
  <si>
    <t>Indemnité hébergement /perdiem calculé slon barême CALQ 125$/jour</t>
  </si>
  <si>
    <t>Nb Jour</t>
  </si>
  <si>
    <t>Nb jour</t>
  </si>
  <si>
    <t>MURMURES DE PAPIER</t>
  </si>
  <si>
    <t>Note explicative:</t>
  </si>
  <si>
    <t>Murmures</t>
  </si>
  <si>
    <t>La musicienne voyage de St-Romain avec la scénographie.</t>
  </si>
  <si>
    <t>Il n'y a pas de transport public dans la MRC du Granit, tous les déplacements doivent se faire par véhicule.</t>
  </si>
  <si>
    <t>comédienne</t>
  </si>
  <si>
    <t>Lac-Mégantic</t>
  </si>
  <si>
    <t>St-Romain</t>
  </si>
  <si>
    <t>Lac-Drolet</t>
  </si>
  <si>
    <t>REVENUS</t>
  </si>
  <si>
    <t>Cachets</t>
  </si>
  <si>
    <t>Nombre représentations</t>
  </si>
  <si>
    <t>admin/gestion/promo</t>
  </si>
  <si>
    <t>FRAIS PROMOTION/PUBLICITÉ/mise en marché</t>
  </si>
  <si>
    <t>honoraires graphisme</t>
  </si>
  <si>
    <t>Honoraires mise en marché</t>
  </si>
  <si>
    <t>répartis comme suit</t>
  </si>
  <si>
    <t>CALCULS des cachets et des salaires: RÉPÉTITIONS</t>
  </si>
  <si>
    <t>x</t>
  </si>
  <si>
    <t>15 % des revenus de cachets</t>
  </si>
  <si>
    <t>SOUS TON AILE</t>
  </si>
  <si>
    <t>L'ÉCHO DE L'ÉCUME</t>
  </si>
  <si>
    <t>Cachets tournée La Pocatière</t>
  </si>
  <si>
    <t>Cachets tournée MRC du Granit</t>
  </si>
  <si>
    <t>Cachet Théâtre Alphonse-Desjardins</t>
  </si>
  <si>
    <t>Le remboursement du kilométrage est calculé à 0,50$/km</t>
  </si>
  <si>
    <t>Les scénographies de MURMURES et de SOUS TON AILE sont entreposées à l'entrepôt de la cie qui est situé à St-Romain.</t>
  </si>
  <si>
    <t>La scénographie de l'Écho de l'Écume est entreposée dans l'entrepôt du co-producteur (Théâtre Motus), à Montréal.</t>
  </si>
  <si>
    <t>Le transport de la scénographie est assurée par camion sous la coordination du directeur technique.</t>
  </si>
  <si>
    <t>La comédienne voyage de son lieu de résidence aux Îles-dela-Madeleine, ce qui implique un déplacement par avion.</t>
  </si>
  <si>
    <t>Pour L'ÉCHO DE L'ÉCUME</t>
  </si>
  <si>
    <t>Conception d'expo</t>
  </si>
  <si>
    <t>Performeuse</t>
  </si>
  <si>
    <t>Coach art performatif (Sylvie Tourangeau)</t>
  </si>
  <si>
    <t>Sous ton Aile</t>
  </si>
  <si>
    <t>L'écho de l'écume</t>
  </si>
  <si>
    <t>Nb repr.</t>
  </si>
  <si>
    <t>L'ÉCHO DE L'ÉCUME (1 journée en salle avant représentations)</t>
  </si>
  <si>
    <t>Régisseur</t>
  </si>
  <si>
    <t>Metteure en scène</t>
  </si>
  <si>
    <t>Chorégraphe</t>
  </si>
  <si>
    <t>Comédienne et musicienne sont présentes lors des journées de montage de l'Écho de l'écume, les perdiem incluent donc la journée de montage lorsqu'applicable.</t>
  </si>
  <si>
    <t>chorégraphe</t>
  </si>
  <si>
    <t>compositeure</t>
  </si>
  <si>
    <t>auteure</t>
  </si>
  <si>
    <t>scéno/costumes</t>
  </si>
  <si>
    <t>éclairagiste</t>
  </si>
  <si>
    <t>n/a</t>
  </si>
  <si>
    <t>Montage DT</t>
  </si>
  <si>
    <t>Montage équipe de scène</t>
  </si>
  <si>
    <t>contribution de l'employeur UDA/TUEJ</t>
  </si>
  <si>
    <t>2000$/garantie    / 1500$/options</t>
  </si>
  <si>
    <t>La scénographie voyage dans le véhicule de la musicienne.</t>
  </si>
  <si>
    <t>2021-10-25 au</t>
  </si>
  <si>
    <t>2021-11-07 au</t>
  </si>
  <si>
    <t>2022-02-12 au</t>
  </si>
  <si>
    <t>MURMURES</t>
  </si>
  <si>
    <t>véhicule personnel</t>
  </si>
  <si>
    <t>St-Romain/</t>
  </si>
  <si>
    <t>La Pocatière</t>
  </si>
  <si>
    <t>kilométrage sur place</t>
  </si>
  <si>
    <t>CPE St-Pascal A/R</t>
  </si>
  <si>
    <t>CPE St-Alexandre A/R</t>
  </si>
  <si>
    <t>CPE La Pocatière A/R</t>
  </si>
  <si>
    <t>CPE St-Jean-Port-Joli A/R</t>
  </si>
  <si>
    <t>3 jours</t>
  </si>
  <si>
    <t>2 jours</t>
  </si>
  <si>
    <t>7 jours</t>
  </si>
  <si>
    <t>entre les différents</t>
  </si>
  <si>
    <t>lieux de diffusion</t>
  </si>
  <si>
    <t>location de camion 14''</t>
  </si>
  <si>
    <t>L'Écho</t>
  </si>
  <si>
    <t>musicienne</t>
  </si>
  <si>
    <t>avion IDM-Qc</t>
  </si>
  <si>
    <t>transport Qc-Mégantic</t>
  </si>
  <si>
    <t>inclus dans transport scéno</t>
  </si>
  <si>
    <t>avion IDM-Mtl</t>
  </si>
  <si>
    <t>taxi aéroport-Repentigny A/R</t>
  </si>
  <si>
    <t>Repentigny</t>
  </si>
  <si>
    <t>La Pocatière et environs</t>
  </si>
  <si>
    <t>560 km</t>
  </si>
  <si>
    <t>transport avec musicienne</t>
  </si>
  <si>
    <t>2021-10-24 au</t>
  </si>
  <si>
    <t>comédiene</t>
  </si>
  <si>
    <t>déplacement local</t>
  </si>
  <si>
    <t>Performance musicale</t>
  </si>
  <si>
    <t>Tarif</t>
  </si>
  <si>
    <t>20$/rep. matériel périssable</t>
  </si>
  <si>
    <t>75$/rep.</t>
  </si>
  <si>
    <t>50$/rep.</t>
  </si>
  <si>
    <t>Transport comédienne ïles-de-la-Madeleine/Québec</t>
  </si>
  <si>
    <t>Tournées SOUS TON AILE &amp; MURMURES DE PAPIER</t>
  </si>
  <si>
    <t>https://www.pascan.com/fr/reservation-des-vols/</t>
  </si>
  <si>
    <t>voir soumission</t>
  </si>
  <si>
    <t>Série L'Écho de l'Écume, février 2022</t>
  </si>
  <si>
    <t>bagage excédentaire</t>
  </si>
  <si>
    <t>1 journée en studio avant entrée en salle</t>
  </si>
  <si>
    <t>Honoraires communications</t>
  </si>
  <si>
    <t>h</t>
  </si>
  <si>
    <t>Licenses</t>
  </si>
  <si>
    <t>10% des revenus de cachets</t>
  </si>
  <si>
    <t>TOURNÉE automne-hiver 2021/2022- MURMURES DE PAPIER /SOUS TON AILE / L'Écho de l'écume</t>
  </si>
  <si>
    <t>sous-total salaires</t>
  </si>
  <si>
    <t>coût</t>
  </si>
  <si>
    <t>taux 1,36%</t>
  </si>
  <si>
    <t>directeur technique</t>
  </si>
  <si>
    <t>sous-total sous ton aile</t>
  </si>
  <si>
    <t>sous-total Murmures</t>
  </si>
  <si>
    <t>sous-total L'Écho</t>
  </si>
  <si>
    <t>déplacements sur place 6 jours</t>
  </si>
  <si>
    <t>DT</t>
  </si>
  <si>
    <t>déplacements 4 jours</t>
  </si>
  <si>
    <t>activité développement des publics Sous ton Aile (vidéo)</t>
  </si>
  <si>
    <t>sous-total CNESST</t>
  </si>
  <si>
    <t>sous-total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</si>
</sst>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14" fontId="4" fillId="0" borderId="0" xfId="0" applyNumberFormat="1" applyFont="1"/>
    <xf numFmtId="0" fontId="5" fillId="2" borderId="0" xfId="0" applyFont="1" applyFill="1"/>
    <xf numFmtId="0" fontId="6" fillId="0" borderId="0" xfId="0" applyFont="1"/>
    <xf numFmtId="14" fontId="6" fillId="0" borderId="0" xfId="0" applyNumberFormat="1" applyFont="1"/>
    <xf numFmtId="0" fontId="2" fillId="3" borderId="0" xfId="0" applyFont="1" applyFill="1"/>
    <xf numFmtId="0" fontId="6" fillId="3" borderId="0" xfId="0" applyFont="1" applyFill="1"/>
    <xf numFmtId="0" fontId="1" fillId="3" borderId="0" xfId="0" applyFont="1" applyFill="1"/>
    <xf numFmtId="0" fontId="6" fillId="0" borderId="0" xfId="0" applyFont="1" applyFill="1"/>
    <xf numFmtId="0" fontId="3" fillId="0" borderId="0" xfId="0" applyFont="1"/>
    <xf numFmtId="14" fontId="2" fillId="3" borderId="0" xfId="0" applyNumberFormat="1" applyFont="1" applyFill="1"/>
    <xf numFmtId="0" fontId="2" fillId="4" borderId="0" xfId="0" applyFont="1" applyFill="1"/>
    <xf numFmtId="0" fontId="1" fillId="4" borderId="0" xfId="0" applyFont="1" applyFill="1"/>
    <xf numFmtId="14" fontId="2" fillId="0" borderId="0" xfId="0" applyNumberFormat="1" applyFont="1" applyFill="1"/>
    <xf numFmtId="0" fontId="8" fillId="0" borderId="0" xfId="0" applyFont="1"/>
    <xf numFmtId="0" fontId="9" fillId="0" borderId="0" xfId="1"/>
    <xf numFmtId="0" fontId="10" fillId="0" borderId="0" xfId="0" applyFont="1"/>
    <xf numFmtId="0" fontId="11" fillId="2" borderId="0" xfId="0" applyFont="1" applyFill="1"/>
    <xf numFmtId="0" fontId="1" fillId="5" borderId="0" xfId="0" applyFont="1" applyFill="1"/>
    <xf numFmtId="0" fontId="7" fillId="0" borderId="0" xfId="0" applyFont="1" applyFill="1"/>
    <xf numFmtId="0" fontId="11" fillId="0" borderId="0" xfId="0" applyFont="1" applyFill="1"/>
    <xf numFmtId="0" fontId="1" fillId="6" borderId="0" xfId="0" applyFont="1" applyFill="1"/>
    <xf numFmtId="0" fontId="2" fillId="6" borderId="0" xfId="0" applyFont="1" applyFill="1"/>
    <xf numFmtId="14" fontId="5" fillId="6" borderId="0" xfId="0" applyNumberFormat="1" applyFont="1" applyFill="1"/>
    <xf numFmtId="0" fontId="3" fillId="6" borderId="0" xfId="0" applyFont="1" applyFill="1"/>
    <xf numFmtId="14" fontId="3" fillId="6" borderId="0" xfId="0" applyNumberFormat="1" applyFont="1" applyFill="1"/>
    <xf numFmtId="14" fontId="5" fillId="0" borderId="0" xfId="0" applyNumberFormat="1" applyFont="1" applyFill="1"/>
    <xf numFmtId="0" fontId="3" fillId="0" borderId="0" xfId="0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6</xdr:row>
      <xdr:rowOff>104775</xdr:rowOff>
    </xdr:from>
    <xdr:to>
      <xdr:col>3</xdr:col>
      <xdr:colOff>133062</xdr:colOff>
      <xdr:row>23</xdr:row>
      <xdr:rowOff>47227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2042C83-01D8-4357-8E08-5A2127BE5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23975"/>
          <a:ext cx="2304762" cy="318095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9</xdr:col>
      <xdr:colOff>133048</xdr:colOff>
      <xdr:row>22</xdr:row>
      <xdr:rowOff>9143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1693CD1-D47F-4F67-9501-3F0A9222C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00" y="1219200"/>
          <a:ext cx="2419048" cy="3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B690-F4C0-4E3B-96BC-A74750236C7D}">
  <dimension ref="A1:P211"/>
  <sheetViews>
    <sheetView tabSelected="1" topLeftCell="A186" zoomScaleNormal="100" workbookViewId="0">
      <selection activeCell="A10" sqref="A10"/>
    </sheetView>
  </sheetViews>
  <sheetFormatPr baseColWidth="10" defaultRowHeight="12.75" x14ac:dyDescent="0.2"/>
  <cols>
    <col min="1" max="16384" width="11.42578125" style="1"/>
  </cols>
  <sheetData>
    <row r="1" spans="1:16" x14ac:dyDescent="0.2">
      <c r="A1" s="5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</row>
    <row r="2" spans="1:16" x14ac:dyDescent="0.2">
      <c r="A2" s="5" t="s">
        <v>166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6" x14ac:dyDescent="0.2">
      <c r="A3" s="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</row>
    <row r="4" spans="1:16" x14ac:dyDescent="0.2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">
      <c r="A5" s="6" t="s">
        <v>33</v>
      </c>
      <c r="B5" s="4"/>
      <c r="C5" s="4"/>
      <c r="D5" s="6" t="s">
        <v>76</v>
      </c>
      <c r="E5" s="4"/>
      <c r="F5" s="4"/>
      <c r="G5" s="4"/>
      <c r="H5" s="4"/>
      <c r="I5" s="4"/>
      <c r="J5" s="4"/>
      <c r="K5" s="4"/>
      <c r="L5" s="4"/>
      <c r="M5" s="4"/>
      <c r="N5" s="6"/>
      <c r="O5" s="4"/>
      <c r="P5" s="6"/>
    </row>
    <row r="6" spans="1:16" x14ac:dyDescent="0.2">
      <c r="A6" s="4" t="s">
        <v>65</v>
      </c>
      <c r="B6" s="4"/>
      <c r="C6" s="4"/>
      <c r="D6" s="4">
        <v>35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4" t="s">
        <v>85</v>
      </c>
      <c r="B7" s="4"/>
      <c r="C7" s="4"/>
      <c r="D7" s="4">
        <v>17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4" t="s">
        <v>86</v>
      </c>
      <c r="B8" s="4"/>
      <c r="C8" s="4"/>
      <c r="D8" s="4">
        <v>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">
      <c r="A9" s="6" t="s">
        <v>44</v>
      </c>
      <c r="B9" s="6"/>
      <c r="C9" s="6"/>
      <c r="D9" s="6">
        <f>SUM(D6:D8)</f>
        <v>57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6"/>
      <c r="B10" s="6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5" t="s">
        <v>74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6" x14ac:dyDescent="0.2">
      <c r="A12" s="4" t="s">
        <v>87</v>
      </c>
      <c r="B12" s="4"/>
      <c r="C12" s="4"/>
      <c r="D12" s="4"/>
      <c r="E12" s="4"/>
      <c r="F12" s="4">
        <v>15950</v>
      </c>
      <c r="G12" s="4"/>
      <c r="H12" s="4"/>
      <c r="I12" s="4"/>
      <c r="J12" s="4" t="s">
        <v>83</v>
      </c>
      <c r="K12" s="4"/>
      <c r="L12" s="4"/>
      <c r="M12" s="4"/>
      <c r="N12" s="4"/>
      <c r="O12" s="4"/>
    </row>
    <row r="13" spans="1:16" x14ac:dyDescent="0.2">
      <c r="A13" s="4" t="s">
        <v>88</v>
      </c>
      <c r="B13" s="4"/>
      <c r="C13" s="4"/>
      <c r="D13" s="4"/>
      <c r="E13" s="4"/>
      <c r="F13" s="4">
        <v>5100</v>
      </c>
      <c r="G13" s="4"/>
      <c r="H13" s="4"/>
      <c r="I13" s="4"/>
      <c r="J13" s="4" t="s">
        <v>83</v>
      </c>
      <c r="K13" s="4"/>
      <c r="L13" s="4"/>
      <c r="M13" s="4"/>
      <c r="N13" s="4"/>
    </row>
    <row r="14" spans="1:16" x14ac:dyDescent="0.2">
      <c r="A14" s="4" t="s">
        <v>89</v>
      </c>
      <c r="B14" s="4"/>
      <c r="C14" s="4"/>
      <c r="D14" s="4"/>
      <c r="E14" s="4"/>
      <c r="F14" s="4">
        <f>(4000+4500)</f>
        <v>8500</v>
      </c>
      <c r="G14" s="4" t="s">
        <v>116</v>
      </c>
      <c r="H14" s="4"/>
      <c r="I14" s="4"/>
      <c r="J14" s="4" t="s">
        <v>83</v>
      </c>
      <c r="K14" s="4"/>
      <c r="L14" s="4"/>
      <c r="M14" s="4"/>
      <c r="N14" s="4"/>
    </row>
    <row r="15" spans="1:16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6" x14ac:dyDescent="0.2">
      <c r="A16" s="12" t="s">
        <v>4</v>
      </c>
      <c r="B16" s="14"/>
      <c r="C16" s="14"/>
      <c r="D16" s="14"/>
      <c r="E16" s="14"/>
      <c r="F16" s="12">
        <f>SUM(F12:F15)</f>
        <v>29550</v>
      </c>
      <c r="G16" s="14"/>
      <c r="H16" s="14"/>
      <c r="I16" s="14"/>
      <c r="J16" s="12"/>
      <c r="K16" s="14"/>
      <c r="L16" s="14"/>
      <c r="M16" s="14"/>
    </row>
    <row r="18" spans="1:15" x14ac:dyDescent="0.2">
      <c r="A18" s="5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">
      <c r="A19" s="5" t="s">
        <v>1</v>
      </c>
      <c r="B19" s="5" t="s">
        <v>10</v>
      </c>
      <c r="C19" s="5" t="s">
        <v>29</v>
      </c>
      <c r="D19" s="5"/>
      <c r="E19" s="5" t="s">
        <v>30</v>
      </c>
      <c r="F19" s="5"/>
      <c r="G19" s="7" t="s">
        <v>32</v>
      </c>
      <c r="H19" s="7" t="s">
        <v>20</v>
      </c>
      <c r="I19" s="7" t="s">
        <v>11</v>
      </c>
      <c r="J19" s="7" t="s">
        <v>12</v>
      </c>
      <c r="K19" s="5" t="s">
        <v>8</v>
      </c>
      <c r="L19" s="5" t="s">
        <v>9</v>
      </c>
      <c r="M19" s="9" t="s">
        <v>5</v>
      </c>
      <c r="N19" s="7" t="s">
        <v>31</v>
      </c>
      <c r="O19" s="3" t="s">
        <v>51</v>
      </c>
    </row>
    <row r="20" spans="1:15" x14ac:dyDescent="0.2">
      <c r="A20" s="8" t="s">
        <v>66</v>
      </c>
      <c r="B20" s="10"/>
    </row>
    <row r="21" spans="1:15" x14ac:dyDescent="0.2">
      <c r="A21" s="8" t="s">
        <v>91</v>
      </c>
      <c r="B21" s="11"/>
      <c r="M21" s="2"/>
      <c r="N21" s="2"/>
    </row>
    <row r="22" spans="1:15" x14ac:dyDescent="0.2">
      <c r="A22" s="8" t="s">
        <v>117</v>
      </c>
      <c r="B22" s="11"/>
      <c r="N22" s="2"/>
    </row>
    <row r="23" spans="1:15" x14ac:dyDescent="0.2">
      <c r="A23" s="8" t="s">
        <v>90</v>
      </c>
      <c r="B23" s="10"/>
      <c r="N23" s="2"/>
    </row>
    <row r="24" spans="1:15" x14ac:dyDescent="0.2">
      <c r="A24" s="8"/>
      <c r="B24" s="10"/>
      <c r="N24" s="2"/>
    </row>
    <row r="25" spans="1:15" x14ac:dyDescent="0.2">
      <c r="A25" s="8" t="s">
        <v>92</v>
      </c>
      <c r="B25" s="10"/>
      <c r="N25" s="2"/>
    </row>
    <row r="26" spans="1:15" x14ac:dyDescent="0.2">
      <c r="A26" s="8" t="s">
        <v>93</v>
      </c>
      <c r="B26" s="10"/>
      <c r="N26" s="2"/>
    </row>
    <row r="27" spans="1:15" x14ac:dyDescent="0.2">
      <c r="A27" s="8"/>
      <c r="B27" s="10"/>
      <c r="N27" s="2"/>
    </row>
    <row r="28" spans="1:15" x14ac:dyDescent="0.2">
      <c r="A28" s="8" t="s">
        <v>118</v>
      </c>
      <c r="B28" s="16" t="s">
        <v>85</v>
      </c>
      <c r="E28" s="1" t="s">
        <v>123</v>
      </c>
      <c r="N28" s="2"/>
    </row>
    <row r="29" spans="1:15" x14ac:dyDescent="0.2">
      <c r="A29" s="8">
        <v>44502</v>
      </c>
      <c r="B29" s="10"/>
      <c r="E29" s="1" t="s">
        <v>71</v>
      </c>
      <c r="G29" s="1">
        <v>5</v>
      </c>
      <c r="I29" s="1">
        <v>75</v>
      </c>
      <c r="J29" s="1">
        <f>(0.5*G29*I29)</f>
        <v>187.5</v>
      </c>
      <c r="N29" s="2"/>
      <c r="O29" s="1">
        <v>50</v>
      </c>
    </row>
    <row r="30" spans="1:15" x14ac:dyDescent="0.2">
      <c r="A30" s="8"/>
      <c r="B30" s="10"/>
      <c r="E30" s="1" t="s">
        <v>73</v>
      </c>
      <c r="G30" s="1">
        <v>1</v>
      </c>
      <c r="I30" s="1">
        <v>50</v>
      </c>
      <c r="J30" s="1">
        <f t="shared" ref="J30:J31" si="0">(0.5*G30*I30)</f>
        <v>25</v>
      </c>
      <c r="M30" s="2"/>
      <c r="N30" s="2"/>
      <c r="O30" s="1">
        <f>(50*5)</f>
        <v>250</v>
      </c>
    </row>
    <row r="31" spans="1:15" x14ac:dyDescent="0.2">
      <c r="A31" s="8"/>
      <c r="B31" s="10"/>
      <c r="E31" s="1" t="s">
        <v>72</v>
      </c>
      <c r="G31" s="1">
        <v>1</v>
      </c>
      <c r="I31" s="1">
        <v>15</v>
      </c>
      <c r="J31" s="1">
        <f t="shared" si="0"/>
        <v>7.5</v>
      </c>
      <c r="M31" s="2"/>
      <c r="N31" s="2"/>
      <c r="O31" s="1">
        <v>50</v>
      </c>
    </row>
    <row r="32" spans="1:15" x14ac:dyDescent="0.2">
      <c r="A32" s="8"/>
      <c r="B32" s="10"/>
      <c r="M32" s="2"/>
      <c r="N32" s="2"/>
    </row>
    <row r="33" spans="1:16" x14ac:dyDescent="0.2">
      <c r="A33" s="30" t="s">
        <v>171</v>
      </c>
      <c r="B33" s="31"/>
      <c r="C33" s="29">
        <f>(J29+J30+J31+O29+O30+O31)</f>
        <v>570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P33" s="1" t="s">
        <v>83</v>
      </c>
    </row>
    <row r="34" spans="1:16" x14ac:dyDescent="0.2">
      <c r="A34" s="8"/>
      <c r="B34" s="10"/>
      <c r="M34" s="2"/>
      <c r="N34" s="2"/>
    </row>
    <row r="35" spans="1:16" x14ac:dyDescent="0.2">
      <c r="A35" s="8" t="s">
        <v>119</v>
      </c>
      <c r="B35" s="16" t="s">
        <v>121</v>
      </c>
      <c r="C35" s="1" t="s">
        <v>122</v>
      </c>
      <c r="E35" s="1" t="s">
        <v>123</v>
      </c>
      <c r="I35" s="1">
        <v>540</v>
      </c>
      <c r="J35" s="1">
        <f>(I35*0.5)</f>
        <v>270</v>
      </c>
      <c r="M35" s="2"/>
      <c r="N35" s="1">
        <f>(25*7)</f>
        <v>175</v>
      </c>
    </row>
    <row r="36" spans="1:16" x14ac:dyDescent="0.2">
      <c r="A36" s="8">
        <v>44526</v>
      </c>
      <c r="B36" s="10"/>
      <c r="E36" s="1" t="s">
        <v>124</v>
      </c>
      <c r="N36" s="2"/>
    </row>
    <row r="37" spans="1:16" x14ac:dyDescent="0.2">
      <c r="A37" s="8"/>
      <c r="B37" s="10"/>
      <c r="G37" s="2"/>
      <c r="M37" s="2"/>
      <c r="N37" s="2"/>
    </row>
    <row r="38" spans="1:16" x14ac:dyDescent="0.2">
      <c r="A38" s="8"/>
      <c r="B38" s="10"/>
      <c r="C38" s="1" t="s">
        <v>125</v>
      </c>
      <c r="E38" s="1" t="s">
        <v>126</v>
      </c>
      <c r="G38" s="1" t="s">
        <v>130</v>
      </c>
      <c r="I38" s="1">
        <v>62</v>
      </c>
      <c r="J38" s="1">
        <f>(I38*3*0.5)</f>
        <v>93</v>
      </c>
      <c r="M38" s="2"/>
      <c r="N38" s="2"/>
      <c r="O38" s="1">
        <v>50</v>
      </c>
    </row>
    <row r="39" spans="1:16" x14ac:dyDescent="0.2">
      <c r="A39" s="8"/>
      <c r="B39" s="10"/>
      <c r="C39" s="1" t="s">
        <v>133</v>
      </c>
      <c r="E39" s="1" t="s">
        <v>127</v>
      </c>
      <c r="G39" s="1" t="s">
        <v>131</v>
      </c>
      <c r="I39" s="1">
        <v>110</v>
      </c>
      <c r="J39" s="1">
        <f>(I39*2*0.5)</f>
        <v>110</v>
      </c>
      <c r="M39" s="2"/>
      <c r="N39" s="2"/>
      <c r="O39" s="1">
        <v>50</v>
      </c>
    </row>
    <row r="40" spans="1:16" x14ac:dyDescent="0.2">
      <c r="A40" s="8"/>
      <c r="B40" s="10"/>
      <c r="C40" s="1" t="s">
        <v>134</v>
      </c>
      <c r="E40" s="1" t="s">
        <v>128</v>
      </c>
      <c r="G40" s="1" t="s">
        <v>132</v>
      </c>
      <c r="I40" s="1">
        <v>10</v>
      </c>
      <c r="J40" s="1">
        <f>(I40*7*0.5)</f>
        <v>35</v>
      </c>
      <c r="M40" s="2"/>
      <c r="N40" s="2"/>
      <c r="O40" s="1">
        <f>(50*3)</f>
        <v>150</v>
      </c>
    </row>
    <row r="41" spans="1:16" x14ac:dyDescent="0.2">
      <c r="A41" s="8"/>
      <c r="B41" s="10"/>
      <c r="E41" s="1" t="s">
        <v>129</v>
      </c>
      <c r="G41" s="1" t="s">
        <v>130</v>
      </c>
      <c r="I41" s="1">
        <v>64</v>
      </c>
      <c r="J41" s="1">
        <f>(I41*3*0.5)</f>
        <v>96</v>
      </c>
      <c r="M41" s="2"/>
      <c r="N41" s="2"/>
      <c r="O41" s="1">
        <v>50</v>
      </c>
    </row>
    <row r="42" spans="1:16" x14ac:dyDescent="0.2">
      <c r="A42" s="8"/>
      <c r="B42" s="10"/>
      <c r="G42" s="2"/>
      <c r="M42" s="2"/>
      <c r="N42" s="2"/>
    </row>
    <row r="43" spans="1:16" x14ac:dyDescent="0.2">
      <c r="A43" s="30" t="s">
        <v>172</v>
      </c>
      <c r="B43" s="31"/>
      <c r="C43" s="29">
        <f>(J35+J38+J39+J40+J41+N35+O38+O39+O40+O41)</f>
        <v>1079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P43" s="1" t="s">
        <v>83</v>
      </c>
    </row>
    <row r="44" spans="1:16" x14ac:dyDescent="0.2">
      <c r="A44" s="33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6" x14ac:dyDescent="0.2">
      <c r="A45" s="8" t="s">
        <v>120</v>
      </c>
      <c r="B45" s="16" t="s">
        <v>86</v>
      </c>
      <c r="C45" s="1" t="s">
        <v>135</v>
      </c>
      <c r="G45" s="1">
        <v>2</v>
      </c>
      <c r="H45" s="1">
        <v>150</v>
      </c>
      <c r="I45" s="1">
        <v>60</v>
      </c>
      <c r="K45" s="1">
        <v>40</v>
      </c>
      <c r="M45" s="2"/>
      <c r="N45" s="1">
        <v>100</v>
      </c>
      <c r="O45" s="1">
        <v>200</v>
      </c>
    </row>
    <row r="46" spans="1:16" x14ac:dyDescent="0.2">
      <c r="A46" s="8">
        <v>44609</v>
      </c>
      <c r="B46" s="11"/>
      <c r="N46" s="2"/>
      <c r="O46" s="2"/>
    </row>
    <row r="47" spans="1:16" x14ac:dyDescent="0.2">
      <c r="A47" s="8"/>
      <c r="B47" s="11"/>
      <c r="D47" s="2"/>
      <c r="G47" s="2"/>
      <c r="M47" s="2"/>
      <c r="N47" s="2"/>
      <c r="O47" s="2"/>
    </row>
    <row r="48" spans="1:16" x14ac:dyDescent="0.2">
      <c r="A48" s="8"/>
      <c r="B48" s="11"/>
      <c r="D48" s="2"/>
      <c r="G48" s="2"/>
      <c r="O48" s="2"/>
    </row>
    <row r="49" spans="1:16" x14ac:dyDescent="0.2">
      <c r="A49" s="30" t="s">
        <v>173</v>
      </c>
      <c r="B49" s="32"/>
      <c r="C49" s="29">
        <f>(H45+E48+K45+N45+O45)</f>
        <v>490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"/>
      <c r="P49" s="1" t="s">
        <v>83</v>
      </c>
    </row>
    <row r="50" spans="1:16" x14ac:dyDescent="0.2">
      <c r="A50" s="8"/>
      <c r="B50" s="11"/>
      <c r="D50" s="2"/>
      <c r="G50" s="2"/>
      <c r="O50" s="2"/>
    </row>
    <row r="51" spans="1:16" x14ac:dyDescent="0.2">
      <c r="A51" s="8"/>
      <c r="B51" s="11"/>
      <c r="D51" s="2"/>
      <c r="G51" s="2"/>
      <c r="O51" s="2"/>
    </row>
    <row r="52" spans="1:16" x14ac:dyDescent="0.2">
      <c r="A52" s="8"/>
      <c r="B52" s="10"/>
      <c r="C52" s="2"/>
      <c r="D52" s="2"/>
      <c r="G52" s="2"/>
      <c r="M52" s="2"/>
      <c r="N52" s="2"/>
      <c r="O52" s="2"/>
    </row>
    <row r="53" spans="1:16" x14ac:dyDescent="0.2">
      <c r="A53" s="12" t="s">
        <v>4</v>
      </c>
      <c r="B53" s="13"/>
      <c r="C53" s="14"/>
      <c r="D53" s="14"/>
      <c r="E53" s="14"/>
      <c r="F53" s="14"/>
      <c r="G53" s="14"/>
      <c r="H53" s="12">
        <f>SUM(H20:H52)</f>
        <v>150</v>
      </c>
      <c r="I53" s="12"/>
      <c r="J53" s="12">
        <f>SUM(J20:J52)</f>
        <v>824</v>
      </c>
      <c r="K53" s="12">
        <f>SUM(K45:K52)</f>
        <v>40</v>
      </c>
      <c r="L53" s="12">
        <f>SUM(L20:L52)</f>
        <v>0</v>
      </c>
      <c r="M53" s="12">
        <f>SUM(M21:M52)</f>
        <v>0</v>
      </c>
      <c r="N53" s="12">
        <f>SUM(N20:N52)</f>
        <v>275</v>
      </c>
      <c r="O53" s="12">
        <f>SUM(O20:O52)</f>
        <v>850</v>
      </c>
      <c r="P53" s="1" t="s">
        <v>83</v>
      </c>
    </row>
    <row r="54" spans="1:16" x14ac:dyDescent="0.2">
      <c r="A54" s="12" t="s">
        <v>47</v>
      </c>
      <c r="B54" s="13"/>
      <c r="C54" s="12">
        <f>(H53+J53+K53+L53+M53+N53+O53)</f>
        <v>2139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6" x14ac:dyDescent="0.2">
      <c r="A55" s="6"/>
      <c r="B55" s="1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6" x14ac:dyDescent="0.2">
      <c r="A56" s="5" t="s">
        <v>34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"/>
    </row>
    <row r="57" spans="1:16" x14ac:dyDescent="0.2">
      <c r="A57" s="4" t="s">
        <v>68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6" x14ac:dyDescent="0.2">
      <c r="A58" s="1" t="s">
        <v>69</v>
      </c>
      <c r="I58" s="4"/>
      <c r="J58" s="4"/>
      <c r="K58" s="4"/>
      <c r="L58" s="4"/>
      <c r="M58" s="4"/>
    </row>
    <row r="59" spans="1:16" x14ac:dyDescent="0.2">
      <c r="A59" s="1" t="s">
        <v>94</v>
      </c>
    </row>
    <row r="60" spans="1:16" x14ac:dyDescent="0.2">
      <c r="A60" s="1" t="s">
        <v>106</v>
      </c>
    </row>
    <row r="62" spans="1:16" x14ac:dyDescent="0.2">
      <c r="A62" s="5" t="s">
        <v>1</v>
      </c>
      <c r="B62" s="5" t="s">
        <v>10</v>
      </c>
      <c r="C62" s="5" t="s">
        <v>7</v>
      </c>
      <c r="D62" s="3"/>
      <c r="E62" s="5" t="s">
        <v>13</v>
      </c>
      <c r="F62" s="5" t="s">
        <v>11</v>
      </c>
      <c r="G62" s="5" t="s">
        <v>63</v>
      </c>
      <c r="H62" s="5" t="s">
        <v>14</v>
      </c>
      <c r="I62" s="5" t="s">
        <v>3</v>
      </c>
      <c r="J62" s="3"/>
      <c r="K62" s="5" t="s">
        <v>45</v>
      </c>
      <c r="L62" s="3"/>
      <c r="M62" s="3"/>
      <c r="N62" s="3"/>
    </row>
    <row r="63" spans="1:16" x14ac:dyDescent="0.2">
      <c r="A63" s="8"/>
      <c r="B63" s="10" t="s">
        <v>99</v>
      </c>
      <c r="C63" s="1" t="s">
        <v>71</v>
      </c>
      <c r="E63" s="1" t="s">
        <v>70</v>
      </c>
      <c r="F63" s="1" t="s">
        <v>138</v>
      </c>
      <c r="I63" s="1">
        <v>1055</v>
      </c>
      <c r="J63" s="1" t="s">
        <v>158</v>
      </c>
      <c r="L63" s="1" t="s">
        <v>83</v>
      </c>
    </row>
    <row r="64" spans="1:16" x14ac:dyDescent="0.2">
      <c r="A64" s="8"/>
      <c r="B64" s="10"/>
      <c r="F64" s="1" t="s">
        <v>160</v>
      </c>
      <c r="I64" s="1">
        <v>80</v>
      </c>
      <c r="L64" s="1" t="s">
        <v>83</v>
      </c>
    </row>
    <row r="65" spans="1:12" x14ac:dyDescent="0.2">
      <c r="A65" s="8"/>
      <c r="B65" s="10"/>
      <c r="F65" s="1" t="s">
        <v>139</v>
      </c>
      <c r="I65" s="1">
        <v>200</v>
      </c>
      <c r="K65" s="1">
        <v>200</v>
      </c>
      <c r="L65" s="1" t="s">
        <v>83</v>
      </c>
    </row>
    <row r="66" spans="1:12" x14ac:dyDescent="0.2">
      <c r="A66" s="8"/>
      <c r="B66" s="10"/>
    </row>
    <row r="67" spans="1:12" x14ac:dyDescent="0.2">
      <c r="A67" s="8"/>
      <c r="B67" s="10"/>
      <c r="E67" s="1" t="s">
        <v>137</v>
      </c>
      <c r="F67" s="1" t="s">
        <v>140</v>
      </c>
    </row>
    <row r="68" spans="1:12" x14ac:dyDescent="0.2">
      <c r="A68" s="8"/>
      <c r="B68" s="10"/>
    </row>
    <row r="69" spans="1:12" x14ac:dyDescent="0.2">
      <c r="A69" s="8"/>
      <c r="B69" s="10" t="s">
        <v>67</v>
      </c>
      <c r="C69" s="1" t="s">
        <v>144</v>
      </c>
      <c r="E69" s="1" t="s">
        <v>70</v>
      </c>
      <c r="F69" s="1" t="s">
        <v>146</v>
      </c>
    </row>
    <row r="70" spans="1:12" x14ac:dyDescent="0.2">
      <c r="A70" s="8"/>
      <c r="B70" s="10"/>
      <c r="E70" s="1" t="s">
        <v>137</v>
      </c>
      <c r="F70" s="1" t="s">
        <v>140</v>
      </c>
      <c r="G70" s="2"/>
    </row>
    <row r="71" spans="1:12" x14ac:dyDescent="0.2">
      <c r="A71" s="8"/>
      <c r="B71" s="10"/>
    </row>
    <row r="72" spans="1:12" x14ac:dyDescent="0.2">
      <c r="A72" s="8"/>
      <c r="B72" s="11" t="s">
        <v>136</v>
      </c>
      <c r="C72" s="1" t="s">
        <v>143</v>
      </c>
      <c r="E72" s="1" t="s">
        <v>70</v>
      </c>
      <c r="F72" s="1" t="s">
        <v>141</v>
      </c>
      <c r="I72" s="1">
        <v>930</v>
      </c>
      <c r="J72" s="1" t="s">
        <v>158</v>
      </c>
      <c r="L72" s="1" t="s">
        <v>83</v>
      </c>
    </row>
    <row r="73" spans="1:12" x14ac:dyDescent="0.2">
      <c r="A73" s="8"/>
      <c r="B73" s="11"/>
      <c r="F73" s="1" t="s">
        <v>160</v>
      </c>
      <c r="I73" s="1">
        <v>80</v>
      </c>
      <c r="L73" s="1" t="s">
        <v>83</v>
      </c>
    </row>
    <row r="74" spans="1:12" x14ac:dyDescent="0.2">
      <c r="A74" s="8"/>
      <c r="B74" s="11"/>
      <c r="F74" s="1" t="s">
        <v>142</v>
      </c>
      <c r="I74" s="1">
        <v>150</v>
      </c>
      <c r="L74" s="1" t="s">
        <v>83</v>
      </c>
    </row>
    <row r="75" spans="1:12" x14ac:dyDescent="0.2">
      <c r="A75" s="8"/>
      <c r="B75" s="11"/>
    </row>
    <row r="76" spans="1:12" x14ac:dyDescent="0.2">
      <c r="A76" s="8"/>
      <c r="B76" s="11"/>
      <c r="D76" s="2"/>
      <c r="E76" s="1" t="s">
        <v>137</v>
      </c>
      <c r="F76" s="1" t="s">
        <v>145</v>
      </c>
      <c r="G76" s="2"/>
    </row>
    <row r="77" spans="1:12" x14ac:dyDescent="0.2">
      <c r="A77" s="8"/>
      <c r="B77" s="11"/>
      <c r="D77" s="2"/>
      <c r="F77" s="1" t="s">
        <v>122</v>
      </c>
      <c r="G77" s="2"/>
      <c r="H77" s="1">
        <f>(560*0.5)</f>
        <v>280</v>
      </c>
      <c r="K77" s="1">
        <v>200</v>
      </c>
      <c r="L77" s="1" t="s">
        <v>83</v>
      </c>
    </row>
    <row r="78" spans="1:12" x14ac:dyDescent="0.2">
      <c r="A78" s="8"/>
      <c r="B78" s="11"/>
      <c r="D78" s="2"/>
      <c r="F78" s="1" t="s">
        <v>174</v>
      </c>
      <c r="G78" s="2"/>
    </row>
    <row r="79" spans="1:12" x14ac:dyDescent="0.2">
      <c r="A79" s="8"/>
      <c r="B79" s="11"/>
      <c r="D79" s="2"/>
      <c r="G79" s="2"/>
    </row>
    <row r="80" spans="1:12" x14ac:dyDescent="0.2">
      <c r="A80" s="8"/>
      <c r="B80" s="11"/>
      <c r="D80" s="2"/>
      <c r="E80" s="1" t="s">
        <v>175</v>
      </c>
      <c r="F80" s="1" t="s">
        <v>122</v>
      </c>
      <c r="G80" s="2"/>
      <c r="H80" s="1">
        <f>(65*4*0.5)</f>
        <v>130</v>
      </c>
    </row>
    <row r="81" spans="1:14" x14ac:dyDescent="0.2">
      <c r="A81" s="8"/>
      <c r="B81" s="11"/>
      <c r="F81" s="1" t="s">
        <v>176</v>
      </c>
    </row>
    <row r="82" spans="1:14" x14ac:dyDescent="0.2">
      <c r="A82" s="8"/>
      <c r="B82" s="10"/>
    </row>
    <row r="83" spans="1:14" x14ac:dyDescent="0.2">
      <c r="A83" s="12" t="s">
        <v>58</v>
      </c>
      <c r="B83" s="12"/>
      <c r="C83" s="12"/>
      <c r="D83" s="12"/>
      <c r="E83" s="12"/>
      <c r="F83" s="12"/>
      <c r="G83" s="12"/>
      <c r="H83" s="12">
        <f>SUM(H63:H82)</f>
        <v>410</v>
      </c>
      <c r="I83" s="12">
        <f>SUM(I63:I82)</f>
        <v>2495</v>
      </c>
      <c r="J83" s="12"/>
      <c r="K83" s="12">
        <f>SUM(K65:K82)</f>
        <v>400</v>
      </c>
      <c r="L83" s="12"/>
      <c r="M83" s="12"/>
      <c r="N83" s="12">
        <f>SUM(N71:N82)</f>
        <v>0</v>
      </c>
    </row>
    <row r="84" spans="1:14" x14ac:dyDescent="0.2">
      <c r="A84" s="12" t="s">
        <v>4</v>
      </c>
      <c r="B84" s="12"/>
      <c r="C84" s="12"/>
      <c r="D84" s="12"/>
      <c r="E84" s="12"/>
      <c r="F84" s="12"/>
      <c r="G84" s="12"/>
      <c r="H84" s="12">
        <f>(H83+I83+K83+N83)</f>
        <v>3305</v>
      </c>
      <c r="I84" s="14"/>
      <c r="J84" s="12"/>
      <c r="K84" s="12"/>
      <c r="L84" s="12"/>
      <c r="M84" s="12"/>
      <c r="N84" s="12"/>
    </row>
    <row r="86" spans="1:14" x14ac:dyDescent="0.2">
      <c r="A86" s="5" t="s">
        <v>15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4" x14ac:dyDescent="0.2">
      <c r="A87" s="4" t="s">
        <v>62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4" x14ac:dyDescent="0.2">
      <c r="A88" s="4" t="s">
        <v>18</v>
      </c>
      <c r="B88" s="4"/>
      <c r="C88" s="4"/>
      <c r="D88" s="4"/>
      <c r="E88" s="4"/>
      <c r="F88" s="4"/>
      <c r="G88" s="4"/>
      <c r="H88" s="6"/>
      <c r="I88" s="6"/>
      <c r="J88" s="6"/>
      <c r="K88" s="6"/>
      <c r="L88" s="6"/>
    </row>
    <row r="89" spans="1:14" x14ac:dyDescent="0.2">
      <c r="A89" s="6"/>
      <c r="B89" s="4"/>
      <c r="C89" s="4"/>
      <c r="D89" s="4"/>
      <c r="E89" s="4"/>
      <c r="F89" s="4"/>
      <c r="G89" s="4"/>
      <c r="H89" s="6"/>
      <c r="I89" s="6"/>
      <c r="J89" s="6"/>
      <c r="K89" s="6"/>
      <c r="L89" s="6"/>
    </row>
    <row r="90" spans="1:14" x14ac:dyDescent="0.2">
      <c r="A90" s="2" t="s">
        <v>1</v>
      </c>
      <c r="B90" s="2" t="s">
        <v>7</v>
      </c>
      <c r="C90" s="2" t="s">
        <v>16</v>
      </c>
      <c r="D90" s="2"/>
      <c r="E90" s="16" t="s">
        <v>36</v>
      </c>
      <c r="F90" s="16"/>
      <c r="G90" s="2" t="s">
        <v>3</v>
      </c>
      <c r="H90" s="2" t="s">
        <v>17</v>
      </c>
      <c r="I90" s="6" t="s">
        <v>52</v>
      </c>
      <c r="J90" s="6"/>
      <c r="K90" s="6"/>
      <c r="L90" s="6"/>
    </row>
    <row r="91" spans="1:14" x14ac:dyDescent="0.2">
      <c r="A91" s="8" t="s">
        <v>147</v>
      </c>
      <c r="B91" s="1" t="s">
        <v>71</v>
      </c>
      <c r="C91" s="1" t="s">
        <v>70</v>
      </c>
      <c r="E91" s="1">
        <v>10</v>
      </c>
      <c r="G91" s="1">
        <f>(E91*125)</f>
        <v>1250</v>
      </c>
      <c r="I91" s="2"/>
      <c r="J91" s="2" t="s">
        <v>83</v>
      </c>
    </row>
    <row r="92" spans="1:14" x14ac:dyDescent="0.2">
      <c r="A92" s="8">
        <v>44502</v>
      </c>
      <c r="C92" s="1" t="s">
        <v>137</v>
      </c>
      <c r="D92" s="1" t="s">
        <v>149</v>
      </c>
    </row>
    <row r="93" spans="1:14" x14ac:dyDescent="0.2">
      <c r="A93" s="8"/>
    </row>
    <row r="94" spans="1:14" x14ac:dyDescent="0.2">
      <c r="A94" s="8" t="s">
        <v>119</v>
      </c>
      <c r="B94" s="1" t="s">
        <v>124</v>
      </c>
      <c r="C94" s="1" t="s">
        <v>70</v>
      </c>
      <c r="E94" s="1">
        <v>20</v>
      </c>
      <c r="G94" s="1">
        <f t="shared" ref="G94:G98" si="1">(E94*125)</f>
        <v>2500</v>
      </c>
      <c r="J94" s="1" t="s">
        <v>83</v>
      </c>
    </row>
    <row r="95" spans="1:14" x14ac:dyDescent="0.2">
      <c r="A95" s="8">
        <v>44526</v>
      </c>
      <c r="C95" s="1" t="s">
        <v>137</v>
      </c>
      <c r="E95" s="1">
        <v>20</v>
      </c>
      <c r="G95" s="1">
        <f t="shared" si="1"/>
        <v>2500</v>
      </c>
      <c r="J95" s="1" t="s">
        <v>83</v>
      </c>
    </row>
    <row r="96" spans="1:14" x14ac:dyDescent="0.2">
      <c r="A96" s="8"/>
    </row>
    <row r="97" spans="1:12" x14ac:dyDescent="0.2">
      <c r="A97" s="8" t="s">
        <v>120</v>
      </c>
      <c r="B97" s="1" t="s">
        <v>143</v>
      </c>
      <c r="C97" s="1" t="s">
        <v>148</v>
      </c>
      <c r="E97" s="1">
        <v>6</v>
      </c>
      <c r="G97" s="1">
        <f t="shared" si="1"/>
        <v>750</v>
      </c>
      <c r="J97" s="1" t="s">
        <v>83</v>
      </c>
    </row>
    <row r="98" spans="1:12" x14ac:dyDescent="0.2">
      <c r="A98" s="8">
        <v>44609</v>
      </c>
      <c r="C98" s="1" t="s">
        <v>137</v>
      </c>
      <c r="E98" s="1">
        <v>6</v>
      </c>
      <c r="G98" s="1">
        <f t="shared" si="1"/>
        <v>750</v>
      </c>
      <c r="J98" s="1" t="s">
        <v>83</v>
      </c>
    </row>
    <row r="99" spans="1:12" x14ac:dyDescent="0.2">
      <c r="A99" s="8"/>
      <c r="C99" s="1" t="s">
        <v>170</v>
      </c>
      <c r="H99" s="1">
        <f>(19*6)</f>
        <v>114</v>
      </c>
      <c r="J99" s="1" t="s">
        <v>83</v>
      </c>
    </row>
    <row r="100" spans="1:12" x14ac:dyDescent="0.2">
      <c r="A100" s="8"/>
    </row>
    <row r="101" spans="1:12" x14ac:dyDescent="0.2">
      <c r="A101" s="8"/>
    </row>
    <row r="102" spans="1:12" x14ac:dyDescent="0.2">
      <c r="A102" s="8"/>
    </row>
    <row r="103" spans="1:12" x14ac:dyDescent="0.2">
      <c r="A103" s="8"/>
    </row>
    <row r="104" spans="1:12" x14ac:dyDescent="0.2">
      <c r="A104" s="17" t="s">
        <v>48</v>
      </c>
      <c r="B104" s="12"/>
      <c r="C104" s="12"/>
      <c r="D104" s="12"/>
      <c r="E104" s="12"/>
      <c r="F104" s="12"/>
      <c r="G104" s="12">
        <f>SUM(G91:G103)</f>
        <v>7750</v>
      </c>
      <c r="H104" s="12">
        <f>SUM(H91:H103)</f>
        <v>114</v>
      </c>
      <c r="I104" s="14"/>
      <c r="J104" s="14"/>
      <c r="K104" s="14"/>
    </row>
    <row r="105" spans="1:12" x14ac:dyDescent="0.2">
      <c r="A105" s="17" t="s">
        <v>4</v>
      </c>
      <c r="B105" s="12"/>
      <c r="C105" s="12"/>
      <c r="D105" s="12"/>
      <c r="E105" s="12"/>
      <c r="F105" s="12"/>
      <c r="G105" s="12"/>
      <c r="H105" s="12">
        <f>(G104+H104)</f>
        <v>7864</v>
      </c>
      <c r="I105" s="14"/>
      <c r="J105" s="14" t="s">
        <v>83</v>
      </c>
      <c r="K105" s="14"/>
    </row>
    <row r="106" spans="1:12" x14ac:dyDescent="0.2">
      <c r="A106" s="20"/>
      <c r="B106" s="6"/>
      <c r="C106" s="6"/>
      <c r="D106" s="6"/>
      <c r="E106" s="6"/>
      <c r="F106" s="6"/>
      <c r="G106" s="6"/>
      <c r="H106" s="6"/>
      <c r="I106" s="4"/>
      <c r="J106" s="4"/>
      <c r="K106" s="4"/>
      <c r="L106" s="4"/>
    </row>
    <row r="107" spans="1:12" x14ac:dyDescent="0.2">
      <c r="A107" s="5" t="s">
        <v>6</v>
      </c>
      <c r="B107" s="5"/>
      <c r="C107" s="3"/>
      <c r="D107" s="5" t="s">
        <v>53</v>
      </c>
      <c r="E107" s="5" t="s">
        <v>54</v>
      </c>
      <c r="F107" s="5"/>
      <c r="G107" s="5"/>
      <c r="H107" s="5" t="s">
        <v>3</v>
      </c>
      <c r="I107" s="3"/>
      <c r="J107" s="3"/>
      <c r="K107" s="3"/>
    </row>
    <row r="108" spans="1:12" x14ac:dyDescent="0.2">
      <c r="A108" s="2" t="s">
        <v>95</v>
      </c>
      <c r="B108" s="2"/>
      <c r="H108" s="1">
        <f>(E108*D108)</f>
        <v>0</v>
      </c>
    </row>
    <row r="109" spans="1:12" x14ac:dyDescent="0.2">
      <c r="A109" s="1" t="s">
        <v>107</v>
      </c>
      <c r="B109" s="2"/>
      <c r="D109" s="1">
        <v>40</v>
      </c>
      <c r="E109" s="1">
        <v>5</v>
      </c>
      <c r="H109" s="1">
        <f>(E109*D109)</f>
        <v>200</v>
      </c>
      <c r="L109" s="1" t="s">
        <v>83</v>
      </c>
    </row>
    <row r="110" spans="1:12" x14ac:dyDescent="0.2">
      <c r="A110" s="1" t="s">
        <v>108</v>
      </c>
      <c r="D110" s="1">
        <v>100</v>
      </c>
      <c r="E110" s="1">
        <v>5</v>
      </c>
      <c r="H110" s="1">
        <f t="shared" ref="H110:H113" si="2">(E110*D110)</f>
        <v>500</v>
      </c>
      <c r="L110" s="1" t="s">
        <v>83</v>
      </c>
    </row>
    <row r="111" spans="1:12" x14ac:dyDescent="0.2">
      <c r="A111" s="1" t="s">
        <v>109</v>
      </c>
      <c r="D111" s="1">
        <v>100</v>
      </c>
      <c r="E111" s="1">
        <v>5</v>
      </c>
      <c r="H111" s="1">
        <f t="shared" si="2"/>
        <v>500</v>
      </c>
      <c r="L111" s="1" t="s">
        <v>83</v>
      </c>
    </row>
    <row r="112" spans="1:12" x14ac:dyDescent="0.2">
      <c r="A112" s="1" t="s">
        <v>110</v>
      </c>
      <c r="D112" s="1">
        <v>46</v>
      </c>
      <c r="E112" s="1">
        <v>5</v>
      </c>
      <c r="H112" s="1">
        <f t="shared" si="2"/>
        <v>230</v>
      </c>
      <c r="L112" s="1" t="s">
        <v>83</v>
      </c>
    </row>
    <row r="113" spans="1:12" x14ac:dyDescent="0.2">
      <c r="A113" s="1" t="s">
        <v>111</v>
      </c>
      <c r="D113" s="1">
        <v>22</v>
      </c>
      <c r="E113" s="1">
        <v>5</v>
      </c>
      <c r="H113" s="1">
        <f t="shared" si="2"/>
        <v>110</v>
      </c>
      <c r="L113" s="1" t="s">
        <v>83</v>
      </c>
    </row>
    <row r="114" spans="1:12" x14ac:dyDescent="0.2">
      <c r="B114" s="2"/>
    </row>
    <row r="115" spans="1:12" x14ac:dyDescent="0.2">
      <c r="A115" s="1" t="s">
        <v>65</v>
      </c>
      <c r="B115" s="2"/>
      <c r="D115" s="1" t="s">
        <v>112</v>
      </c>
    </row>
    <row r="116" spans="1:12" x14ac:dyDescent="0.2">
      <c r="A116" s="1" t="s">
        <v>85</v>
      </c>
      <c r="D116" s="1" t="s">
        <v>112</v>
      </c>
    </row>
    <row r="117" spans="1:12" x14ac:dyDescent="0.2">
      <c r="A117" s="12" t="s">
        <v>4</v>
      </c>
      <c r="B117" s="12"/>
      <c r="C117" s="12"/>
      <c r="D117" s="12"/>
      <c r="E117" s="12"/>
      <c r="F117" s="12"/>
      <c r="G117" s="12"/>
      <c r="H117" s="12">
        <f>SUM(H108:H116)</f>
        <v>1540</v>
      </c>
      <c r="I117" s="14"/>
      <c r="J117" s="14"/>
      <c r="K117" s="14"/>
      <c r="L117" s="1" t="s">
        <v>83</v>
      </c>
    </row>
    <row r="118" spans="1:12" x14ac:dyDescent="0.2">
      <c r="A118" s="6"/>
      <c r="B118" s="6"/>
      <c r="C118" s="6"/>
      <c r="D118" s="6"/>
      <c r="E118" s="6"/>
      <c r="F118" s="6"/>
      <c r="G118" s="6"/>
      <c r="H118" s="6"/>
      <c r="I118" s="4"/>
      <c r="J118" s="4"/>
      <c r="K118" s="4"/>
    </row>
    <row r="119" spans="1:12" x14ac:dyDescent="0.2">
      <c r="A119" s="5" t="s">
        <v>55</v>
      </c>
      <c r="B119" s="3"/>
      <c r="C119" s="3"/>
      <c r="D119" s="3"/>
      <c r="E119" s="5" t="s">
        <v>56</v>
      </c>
      <c r="F119" s="5" t="s">
        <v>151</v>
      </c>
      <c r="G119" s="3"/>
      <c r="H119" s="5" t="s">
        <v>3</v>
      </c>
      <c r="I119" s="3"/>
      <c r="J119" s="3"/>
      <c r="K119" s="3"/>
    </row>
    <row r="120" spans="1:12" x14ac:dyDescent="0.2">
      <c r="A120" s="6" t="s">
        <v>65</v>
      </c>
      <c r="B120" s="4"/>
      <c r="C120" s="4"/>
      <c r="D120" s="4"/>
      <c r="E120" s="6"/>
      <c r="F120" s="4"/>
      <c r="G120" s="4"/>
      <c r="H120" s="6"/>
      <c r="I120" s="4"/>
      <c r="J120" s="4"/>
      <c r="K120" s="4"/>
    </row>
    <row r="121" spans="1:12" x14ac:dyDescent="0.2">
      <c r="A121" s="4" t="s">
        <v>35</v>
      </c>
      <c r="B121" s="4"/>
      <c r="C121" s="4"/>
      <c r="D121" s="4"/>
      <c r="E121" s="4">
        <v>35</v>
      </c>
      <c r="F121" s="4">
        <v>165</v>
      </c>
      <c r="G121" s="4"/>
      <c r="H121" s="4">
        <f>(F121*35)</f>
        <v>5775</v>
      </c>
      <c r="I121" s="4" t="s">
        <v>83</v>
      </c>
      <c r="J121" s="4"/>
      <c r="K121" s="4"/>
    </row>
    <row r="122" spans="1:12" x14ac:dyDescent="0.2">
      <c r="A122" s="4" t="s">
        <v>19</v>
      </c>
      <c r="B122" s="4"/>
      <c r="C122" s="4"/>
      <c r="D122" s="4"/>
      <c r="E122" s="4">
        <v>35</v>
      </c>
      <c r="F122" s="4">
        <v>165</v>
      </c>
      <c r="G122" s="4"/>
      <c r="H122" s="4">
        <f>(F122*35)</f>
        <v>5775</v>
      </c>
      <c r="I122" s="4" t="s">
        <v>83</v>
      </c>
      <c r="J122" s="4"/>
      <c r="K122" s="4"/>
    </row>
    <row r="123" spans="1:12" x14ac:dyDescent="0.2">
      <c r="A123" s="4" t="s">
        <v>96</v>
      </c>
      <c r="B123" s="4"/>
      <c r="C123" s="4"/>
      <c r="D123" s="4"/>
      <c r="E123" s="4">
        <v>6</v>
      </c>
      <c r="F123" s="4">
        <v>100</v>
      </c>
      <c r="G123" s="4"/>
      <c r="H123" s="4">
        <f>(F123*6*2)</f>
        <v>1200</v>
      </c>
      <c r="I123" s="4" t="s">
        <v>83</v>
      </c>
      <c r="J123" s="4"/>
      <c r="K123" s="4"/>
    </row>
    <row r="124" spans="1:12" x14ac:dyDescent="0.2">
      <c r="A124" s="4" t="s">
        <v>23</v>
      </c>
      <c r="B124" s="4"/>
      <c r="C124" s="4"/>
      <c r="D124" s="4"/>
      <c r="E124" s="4">
        <v>35</v>
      </c>
      <c r="F124" s="4">
        <v>20</v>
      </c>
      <c r="G124" s="4"/>
      <c r="H124" s="4">
        <f>(F124*E124)</f>
        <v>700</v>
      </c>
      <c r="I124" s="4" t="s">
        <v>83</v>
      </c>
      <c r="J124" s="4"/>
      <c r="K124" s="4"/>
    </row>
    <row r="125" spans="1:12" x14ac:dyDescent="0.2">
      <c r="A125" s="4" t="s">
        <v>150</v>
      </c>
      <c r="B125" s="4"/>
      <c r="C125" s="4"/>
      <c r="D125" s="4"/>
      <c r="E125" s="4">
        <v>6</v>
      </c>
      <c r="F125" s="4">
        <v>100</v>
      </c>
      <c r="G125" s="4"/>
      <c r="H125" s="4">
        <f>(F125*6*2)</f>
        <v>1200</v>
      </c>
      <c r="I125" s="4" t="s">
        <v>83</v>
      </c>
      <c r="J125" s="4"/>
      <c r="K125" s="4"/>
    </row>
    <row r="126" spans="1:12" x14ac:dyDescent="0.2">
      <c r="A126" s="6"/>
      <c r="B126" s="4"/>
      <c r="C126" s="4"/>
      <c r="D126" s="4"/>
      <c r="E126" s="6"/>
      <c r="F126" s="4"/>
      <c r="G126" s="4"/>
      <c r="H126" s="4"/>
      <c r="I126" s="4"/>
      <c r="J126" s="4"/>
      <c r="K126" s="4"/>
    </row>
    <row r="127" spans="1:12" x14ac:dyDescent="0.2">
      <c r="A127" s="6" t="s">
        <v>85</v>
      </c>
      <c r="B127" s="4"/>
      <c r="C127" s="4"/>
      <c r="D127" s="4"/>
      <c r="E127" s="6"/>
      <c r="F127" s="4"/>
      <c r="G127" s="4"/>
      <c r="H127" s="4"/>
      <c r="I127" s="4"/>
      <c r="J127" s="4"/>
      <c r="K127" s="4"/>
    </row>
    <row r="128" spans="1:12" x14ac:dyDescent="0.2">
      <c r="A128" s="4" t="s">
        <v>97</v>
      </c>
      <c r="B128" s="4"/>
      <c r="C128" s="4"/>
      <c r="D128" s="4"/>
      <c r="E128" s="4">
        <v>17</v>
      </c>
      <c r="F128" s="4">
        <f>(135)</f>
        <v>135</v>
      </c>
      <c r="G128" s="4"/>
      <c r="H128" s="4">
        <f>(F128*E128)</f>
        <v>2295</v>
      </c>
      <c r="I128" s="4" t="s">
        <v>83</v>
      </c>
      <c r="J128" s="4"/>
      <c r="K128" s="4"/>
    </row>
    <row r="129" spans="1:11" x14ac:dyDescent="0.2">
      <c r="A129" s="4" t="s">
        <v>97</v>
      </c>
      <c r="B129" s="4"/>
      <c r="C129" s="4"/>
      <c r="D129" s="4"/>
      <c r="E129" s="4">
        <v>17</v>
      </c>
      <c r="F129" s="4">
        <v>135</v>
      </c>
      <c r="G129" s="4"/>
      <c r="H129" s="4">
        <f>(F129*E129)</f>
        <v>2295</v>
      </c>
      <c r="I129" s="4" t="s">
        <v>83</v>
      </c>
      <c r="J129" s="4"/>
      <c r="K129" s="4"/>
    </row>
    <row r="130" spans="1:11" x14ac:dyDescent="0.2">
      <c r="A130" s="4" t="s">
        <v>23</v>
      </c>
      <c r="B130" s="4"/>
      <c r="C130" s="4"/>
      <c r="D130" s="4"/>
      <c r="E130" s="6">
        <v>17</v>
      </c>
      <c r="F130" s="4">
        <v>20</v>
      </c>
      <c r="G130" s="4"/>
      <c r="H130" s="4">
        <f>(F130*E130)</f>
        <v>340</v>
      </c>
      <c r="I130" s="4" t="s">
        <v>83</v>
      </c>
      <c r="J130" s="4"/>
      <c r="K130" s="4"/>
    </row>
    <row r="131" spans="1:11" x14ac:dyDescent="0.2">
      <c r="B131" s="4"/>
      <c r="C131" s="4"/>
      <c r="D131" s="4"/>
      <c r="E131" s="6"/>
      <c r="F131" s="4"/>
      <c r="G131" s="4"/>
      <c r="H131" s="6"/>
      <c r="I131" s="4"/>
      <c r="J131" s="4"/>
      <c r="K131" s="4"/>
    </row>
    <row r="132" spans="1:11" x14ac:dyDescent="0.2">
      <c r="A132" s="6"/>
      <c r="B132" s="4"/>
      <c r="C132" s="4"/>
      <c r="D132" s="4"/>
      <c r="E132" s="6"/>
      <c r="F132" s="4"/>
      <c r="G132" s="4"/>
      <c r="H132" s="6"/>
      <c r="I132" s="4"/>
      <c r="J132" s="4"/>
      <c r="K132" s="4"/>
    </row>
    <row r="133" spans="1:11" x14ac:dyDescent="0.2">
      <c r="A133" s="6" t="s">
        <v>86</v>
      </c>
      <c r="B133" s="4"/>
      <c r="C133" s="4"/>
      <c r="D133" s="4"/>
      <c r="E133" s="6"/>
      <c r="F133" s="4"/>
      <c r="G133" s="4"/>
      <c r="H133" s="6"/>
      <c r="I133" s="4"/>
      <c r="J133" s="4"/>
      <c r="K133" s="4"/>
    </row>
    <row r="134" spans="1:11" x14ac:dyDescent="0.2">
      <c r="A134" s="1" t="s">
        <v>2</v>
      </c>
      <c r="B134" s="2"/>
      <c r="C134" s="2"/>
      <c r="D134" s="1">
        <v>185</v>
      </c>
      <c r="E134" s="2">
        <v>5</v>
      </c>
      <c r="F134" s="2"/>
      <c r="G134" s="2"/>
      <c r="H134" s="1">
        <f>(E134*D134)</f>
        <v>925</v>
      </c>
      <c r="I134" s="2" t="s">
        <v>83</v>
      </c>
    </row>
    <row r="135" spans="1:11" x14ac:dyDescent="0.2">
      <c r="A135" s="1" t="s">
        <v>19</v>
      </c>
      <c r="D135" s="1">
        <v>185</v>
      </c>
      <c r="E135" s="1">
        <v>5</v>
      </c>
      <c r="H135" s="1">
        <f t="shared" ref="H135:H140" si="3">(E135*D135)</f>
        <v>925</v>
      </c>
      <c r="I135" s="1" t="s">
        <v>83</v>
      </c>
    </row>
    <row r="136" spans="1:11" x14ac:dyDescent="0.2">
      <c r="A136" s="1" t="s">
        <v>103</v>
      </c>
      <c r="D136" s="1">
        <v>200</v>
      </c>
      <c r="E136" s="1">
        <v>5</v>
      </c>
      <c r="H136" s="1">
        <f t="shared" si="3"/>
        <v>1000</v>
      </c>
      <c r="I136" s="1" t="s">
        <v>83</v>
      </c>
    </row>
    <row r="137" spans="1:11" x14ac:dyDescent="0.2">
      <c r="A137" s="1" t="s">
        <v>113</v>
      </c>
      <c r="D137" s="1">
        <v>250</v>
      </c>
      <c r="E137" s="1">
        <v>1</v>
      </c>
      <c r="H137" s="1">
        <f t="shared" si="3"/>
        <v>250</v>
      </c>
      <c r="I137" s="1" t="s">
        <v>83</v>
      </c>
    </row>
    <row r="138" spans="1:11" x14ac:dyDescent="0.2">
      <c r="A138" s="1" t="s">
        <v>114</v>
      </c>
      <c r="D138" s="1">
        <v>250</v>
      </c>
      <c r="E138" s="1">
        <v>1</v>
      </c>
      <c r="H138" s="1">
        <f t="shared" si="3"/>
        <v>250</v>
      </c>
      <c r="I138" s="1" t="s">
        <v>83</v>
      </c>
    </row>
    <row r="139" spans="1:11" x14ac:dyDescent="0.2">
      <c r="A139" s="1" t="s">
        <v>23</v>
      </c>
      <c r="D139" s="1">
        <v>125</v>
      </c>
      <c r="E139" s="1">
        <v>5</v>
      </c>
      <c r="H139" s="1">
        <f t="shared" si="3"/>
        <v>625</v>
      </c>
      <c r="I139" s="25" t="s">
        <v>83</v>
      </c>
      <c r="J139" s="25"/>
      <c r="K139" s="25"/>
    </row>
    <row r="140" spans="1:11" x14ac:dyDescent="0.2">
      <c r="A140" s="1" t="s">
        <v>115</v>
      </c>
      <c r="D140" s="1">
        <v>65</v>
      </c>
      <c r="E140" s="1">
        <v>5</v>
      </c>
      <c r="H140" s="1">
        <f t="shared" si="3"/>
        <v>325</v>
      </c>
      <c r="I140" s="4" t="s">
        <v>83</v>
      </c>
      <c r="J140" s="4"/>
      <c r="K140" s="4"/>
    </row>
    <row r="141" spans="1:11" x14ac:dyDescent="0.2">
      <c r="I141" s="4"/>
      <c r="J141" s="4"/>
      <c r="K141" s="4"/>
    </row>
    <row r="142" spans="1:11" x14ac:dyDescent="0.2">
      <c r="A142" s="28" t="s">
        <v>4</v>
      </c>
      <c r="B142" s="28"/>
      <c r="C142" s="28"/>
      <c r="D142" s="28"/>
      <c r="E142" s="28"/>
      <c r="F142" s="28"/>
      <c r="G142" s="28"/>
      <c r="H142" s="29">
        <f>SUM(H121:H141)</f>
        <v>23880</v>
      </c>
      <c r="I142" s="28"/>
      <c r="J142" s="28"/>
      <c r="K142" s="28"/>
    </row>
    <row r="143" spans="1:11" x14ac:dyDescent="0.2">
      <c r="I143" s="4"/>
      <c r="J143" s="4"/>
      <c r="K143" s="4"/>
    </row>
    <row r="144" spans="1:11" x14ac:dyDescent="0.2">
      <c r="A144" s="5" t="s">
        <v>82</v>
      </c>
      <c r="B144" s="3"/>
      <c r="C144" s="3"/>
      <c r="D144" s="3"/>
      <c r="E144" s="5" t="s">
        <v>57</v>
      </c>
      <c r="F144" s="5" t="s">
        <v>64</v>
      </c>
      <c r="G144" s="5"/>
      <c r="H144" s="5" t="s">
        <v>3</v>
      </c>
      <c r="I144" s="3"/>
      <c r="J144" s="3"/>
      <c r="K144" s="3"/>
    </row>
    <row r="145" spans="1:11" x14ac:dyDescent="0.2">
      <c r="A145" s="6" t="s">
        <v>65</v>
      </c>
      <c r="B145" s="4"/>
      <c r="C145" s="4"/>
      <c r="D145" s="4"/>
      <c r="I145" s="4"/>
      <c r="J145" s="4"/>
      <c r="K145" s="4"/>
    </row>
    <row r="146" spans="1:11" x14ac:dyDescent="0.2">
      <c r="A146" s="1" t="s">
        <v>2</v>
      </c>
      <c r="B146" s="4"/>
      <c r="C146" s="4"/>
      <c r="D146" s="4"/>
      <c r="E146" s="4">
        <v>200</v>
      </c>
      <c r="F146" s="4">
        <v>2</v>
      </c>
      <c r="G146" s="4"/>
      <c r="H146" s="4">
        <f>(E146*F146)</f>
        <v>400</v>
      </c>
      <c r="I146" s="4"/>
      <c r="J146" s="4" t="s">
        <v>83</v>
      </c>
      <c r="K146" s="4"/>
    </row>
    <row r="147" spans="1:11" x14ac:dyDescent="0.2">
      <c r="A147" s="1" t="s">
        <v>19</v>
      </c>
      <c r="B147" s="4"/>
      <c r="C147" s="4"/>
      <c r="D147" s="4"/>
      <c r="E147" s="4">
        <v>200</v>
      </c>
      <c r="F147" s="4">
        <v>2</v>
      </c>
      <c r="G147" s="4"/>
      <c r="H147" s="4">
        <f t="shared" ref="H147:H155" si="4">(E147*F147)</f>
        <v>400</v>
      </c>
      <c r="I147" s="4"/>
      <c r="J147" s="4" t="s">
        <v>83</v>
      </c>
      <c r="K147" s="4"/>
    </row>
    <row r="148" spans="1:11" x14ac:dyDescent="0.2">
      <c r="A148" s="1" t="s">
        <v>98</v>
      </c>
      <c r="B148" s="4"/>
      <c r="C148" s="4"/>
      <c r="D148" s="4"/>
      <c r="E148" s="4">
        <v>350</v>
      </c>
      <c r="F148" s="4">
        <v>2</v>
      </c>
      <c r="G148" s="4"/>
      <c r="H148" s="4">
        <f t="shared" si="4"/>
        <v>700</v>
      </c>
      <c r="I148" s="4"/>
      <c r="J148" s="4" t="s">
        <v>83</v>
      </c>
      <c r="K148" s="4"/>
    </row>
    <row r="149" spans="1:11" x14ac:dyDescent="0.2">
      <c r="D149" s="4"/>
      <c r="E149" s="4"/>
      <c r="F149" s="4"/>
      <c r="G149" s="4"/>
      <c r="H149" s="4"/>
      <c r="I149" s="4"/>
      <c r="J149" s="4"/>
      <c r="K149" s="4"/>
    </row>
    <row r="150" spans="1:11" x14ac:dyDescent="0.2">
      <c r="A150" s="2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">
      <c r="A151" s="1" t="s">
        <v>103</v>
      </c>
      <c r="B151" s="4"/>
      <c r="C151" s="4"/>
      <c r="D151" s="4"/>
      <c r="E151" s="4">
        <v>250</v>
      </c>
      <c r="F151" s="4">
        <v>1</v>
      </c>
      <c r="G151" s="4"/>
      <c r="H151" s="4">
        <f t="shared" si="4"/>
        <v>250</v>
      </c>
      <c r="I151" s="4"/>
      <c r="J151" s="4" t="s">
        <v>83</v>
      </c>
      <c r="K151" s="4"/>
    </row>
    <row r="152" spans="1:11" x14ac:dyDescent="0.2">
      <c r="A152" s="1" t="s">
        <v>35</v>
      </c>
      <c r="B152" s="4"/>
      <c r="C152" s="4"/>
      <c r="D152" s="4"/>
      <c r="E152" s="4">
        <v>200</v>
      </c>
      <c r="F152" s="4">
        <v>1</v>
      </c>
      <c r="G152" s="4"/>
      <c r="H152" s="4">
        <f t="shared" si="4"/>
        <v>200</v>
      </c>
      <c r="I152" s="4"/>
      <c r="J152" s="4" t="s">
        <v>83</v>
      </c>
      <c r="K152" s="4"/>
    </row>
    <row r="153" spans="1:11" x14ac:dyDescent="0.2">
      <c r="A153" s="1" t="s">
        <v>19</v>
      </c>
      <c r="B153" s="4"/>
      <c r="C153" s="4"/>
      <c r="D153" s="4"/>
      <c r="E153" s="4">
        <v>200</v>
      </c>
      <c r="F153" s="4">
        <v>1</v>
      </c>
      <c r="G153" s="4"/>
      <c r="H153" s="4">
        <f t="shared" si="4"/>
        <v>200</v>
      </c>
      <c r="I153" s="4"/>
      <c r="J153" s="4" t="s">
        <v>83</v>
      </c>
      <c r="K153" s="4"/>
    </row>
    <row r="154" spans="1:11" x14ac:dyDescent="0.2">
      <c r="A154" s="1" t="s">
        <v>104</v>
      </c>
      <c r="B154" s="4"/>
      <c r="C154" s="4"/>
      <c r="D154" s="4"/>
      <c r="E154" s="4">
        <v>250</v>
      </c>
      <c r="F154" s="4">
        <v>1</v>
      </c>
      <c r="G154" s="4"/>
      <c r="H154" s="4">
        <f t="shared" si="4"/>
        <v>250</v>
      </c>
      <c r="I154" s="4"/>
      <c r="J154" s="4" t="s">
        <v>83</v>
      </c>
      <c r="K154" s="4"/>
    </row>
    <row r="155" spans="1:11" x14ac:dyDescent="0.2">
      <c r="A155" s="1" t="s">
        <v>105</v>
      </c>
      <c r="B155" s="4"/>
      <c r="C155" s="4"/>
      <c r="D155" s="4"/>
      <c r="E155" s="1">
        <v>250</v>
      </c>
      <c r="F155" s="1">
        <v>1</v>
      </c>
      <c r="H155" s="4">
        <f t="shared" si="4"/>
        <v>250</v>
      </c>
      <c r="I155" s="4"/>
      <c r="J155" s="4" t="s">
        <v>83</v>
      </c>
      <c r="K155" s="4"/>
    </row>
    <row r="156" spans="1:11" x14ac:dyDescent="0.2">
      <c r="A156" s="2" t="s">
        <v>161</v>
      </c>
      <c r="B156" s="4"/>
      <c r="C156" s="4"/>
      <c r="D156" s="4"/>
      <c r="H156" s="4"/>
      <c r="I156" s="4"/>
      <c r="J156" s="4"/>
      <c r="K156" s="4"/>
    </row>
    <row r="157" spans="1:11" x14ac:dyDescent="0.2">
      <c r="A157" s="1" t="s">
        <v>35</v>
      </c>
      <c r="B157" s="4"/>
      <c r="C157" s="4"/>
      <c r="D157" s="4"/>
      <c r="E157" s="4">
        <v>200</v>
      </c>
      <c r="F157" s="4">
        <v>1</v>
      </c>
      <c r="G157" s="4"/>
      <c r="H157" s="4">
        <f t="shared" ref="H157:H158" si="5">(E157*F157)</f>
        <v>200</v>
      </c>
      <c r="I157" s="4"/>
      <c r="J157" s="4" t="s">
        <v>83</v>
      </c>
      <c r="K157" s="4"/>
    </row>
    <row r="158" spans="1:11" x14ac:dyDescent="0.2">
      <c r="A158" s="1" t="s">
        <v>19</v>
      </c>
      <c r="B158" s="4"/>
      <c r="C158" s="4"/>
      <c r="D158" s="4"/>
      <c r="E158" s="4">
        <v>200</v>
      </c>
      <c r="F158" s="4">
        <v>1</v>
      </c>
      <c r="G158" s="4"/>
      <c r="H158" s="4">
        <f t="shared" si="5"/>
        <v>200</v>
      </c>
      <c r="I158" s="4"/>
      <c r="J158" s="4" t="s">
        <v>83</v>
      </c>
      <c r="K158" s="4"/>
    </row>
    <row r="159" spans="1:11" x14ac:dyDescent="0.2">
      <c r="B159" s="4"/>
      <c r="C159" s="4"/>
      <c r="D159" s="4"/>
      <c r="H159" s="4"/>
      <c r="I159" s="4"/>
      <c r="J159" s="4"/>
      <c r="K159" s="4"/>
    </row>
    <row r="160" spans="1:11" x14ac:dyDescent="0.2">
      <c r="B160" s="4"/>
      <c r="C160" s="4"/>
      <c r="D160" s="4"/>
      <c r="H160" s="4"/>
      <c r="I160" s="4"/>
      <c r="J160" s="4"/>
      <c r="K160" s="4"/>
    </row>
    <row r="161" spans="1:12" x14ac:dyDescent="0.2">
      <c r="I161" s="4"/>
      <c r="J161" s="4"/>
      <c r="K161" s="4"/>
    </row>
    <row r="162" spans="1:12" x14ac:dyDescent="0.2">
      <c r="A162" s="12" t="s">
        <v>4</v>
      </c>
      <c r="B162" s="14"/>
      <c r="C162" s="14"/>
      <c r="D162" s="14"/>
      <c r="E162" s="14"/>
      <c r="F162" s="14"/>
      <c r="G162" s="14"/>
      <c r="H162" s="12">
        <f>SUM(H146:H161)</f>
        <v>3050</v>
      </c>
      <c r="I162" s="14"/>
      <c r="J162" s="14"/>
      <c r="K162" s="14"/>
    </row>
    <row r="163" spans="1:12" x14ac:dyDescent="0.2">
      <c r="A163" s="6"/>
      <c r="B163" s="4"/>
      <c r="C163" s="4"/>
      <c r="D163" s="4"/>
      <c r="E163" s="4"/>
      <c r="F163" s="4"/>
      <c r="G163" s="4"/>
      <c r="H163" s="6"/>
      <c r="I163" s="4"/>
      <c r="J163" s="4"/>
      <c r="K163" s="4"/>
    </row>
    <row r="164" spans="1:12" x14ac:dyDescent="0.2">
      <c r="A164" s="5" t="s">
        <v>21</v>
      </c>
      <c r="B164" s="3"/>
      <c r="C164" s="3"/>
      <c r="D164" s="3"/>
      <c r="E164" s="3"/>
      <c r="F164" s="24" t="s">
        <v>101</v>
      </c>
      <c r="G164" s="3"/>
      <c r="H164" s="3"/>
      <c r="I164" s="3"/>
      <c r="J164" s="3"/>
      <c r="K164" s="3"/>
    </row>
    <row r="165" spans="1:12" x14ac:dyDescent="0.2">
      <c r="A165" s="4" t="s">
        <v>67</v>
      </c>
      <c r="B165" s="26"/>
      <c r="C165" s="27" t="s">
        <v>154</v>
      </c>
      <c r="D165" s="27"/>
      <c r="E165" s="27"/>
      <c r="F165" s="27">
        <v>35</v>
      </c>
      <c r="G165" s="27"/>
      <c r="H165" s="27">
        <f>(35*50)</f>
        <v>1750</v>
      </c>
      <c r="I165" s="26"/>
      <c r="J165" s="26"/>
      <c r="K165" s="27" t="s">
        <v>83</v>
      </c>
      <c r="L165" s="4"/>
    </row>
    <row r="166" spans="1:12" x14ac:dyDescent="0.2">
      <c r="A166" s="4" t="s">
        <v>99</v>
      </c>
      <c r="B166" s="6"/>
      <c r="C166" s="4" t="s">
        <v>152</v>
      </c>
      <c r="D166" s="6"/>
      <c r="E166" s="6"/>
      <c r="F166" s="6">
        <v>17</v>
      </c>
      <c r="G166" s="6"/>
      <c r="H166" s="4">
        <f>(20*17)</f>
        <v>340</v>
      </c>
      <c r="I166" s="6"/>
      <c r="J166" s="6"/>
      <c r="K166" s="6" t="s">
        <v>83</v>
      </c>
      <c r="L166" s="4"/>
    </row>
    <row r="167" spans="1:12" x14ac:dyDescent="0.2">
      <c r="A167" s="4" t="s">
        <v>100</v>
      </c>
      <c r="B167" s="6"/>
      <c r="C167" s="1" t="s">
        <v>153</v>
      </c>
      <c r="D167" s="6"/>
      <c r="E167" s="6"/>
      <c r="F167" s="6">
        <v>5</v>
      </c>
      <c r="G167" s="6"/>
      <c r="H167" s="4">
        <f>(75*5)</f>
        <v>375</v>
      </c>
      <c r="I167" s="6"/>
      <c r="J167" s="6"/>
      <c r="K167" s="6" t="s">
        <v>83</v>
      </c>
    </row>
    <row r="168" spans="1:12" x14ac:dyDescent="0.2">
      <c r="B168" s="6"/>
      <c r="D168" s="6"/>
      <c r="E168" s="6"/>
      <c r="F168" s="6"/>
      <c r="G168" s="6"/>
      <c r="H168" s="4"/>
      <c r="I168" s="6"/>
      <c r="J168" s="6"/>
      <c r="K168" s="6"/>
    </row>
    <row r="169" spans="1:12" x14ac:dyDescent="0.2">
      <c r="A169" s="12" t="s">
        <v>44</v>
      </c>
      <c r="B169" s="12"/>
      <c r="C169" s="12"/>
      <c r="D169" s="12"/>
      <c r="E169" s="12"/>
      <c r="F169" s="12"/>
      <c r="G169" s="12"/>
      <c r="H169" s="12">
        <f>SUM(H165:H168)</f>
        <v>2465</v>
      </c>
      <c r="I169" s="12"/>
      <c r="J169" s="12"/>
      <c r="K169" s="12"/>
    </row>
    <row r="170" spans="1:12" x14ac:dyDescent="0.2">
      <c r="A170" s="4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2" x14ac:dyDescent="0.2">
      <c r="A171" s="5" t="s">
        <v>78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2" x14ac:dyDescent="0.2">
      <c r="A172" s="6" t="s">
        <v>84</v>
      </c>
      <c r="B172" s="4"/>
      <c r="C172" s="6">
        <f>(F12+F13+F14)*0.15</f>
        <v>4432.5</v>
      </c>
      <c r="E172" s="4"/>
      <c r="F172" s="6" t="s">
        <v>81</v>
      </c>
      <c r="G172" s="4"/>
      <c r="H172" s="4"/>
      <c r="I172" s="4"/>
      <c r="J172" s="4"/>
      <c r="K172" s="4"/>
    </row>
    <row r="173" spans="1:12" x14ac:dyDescent="0.2">
      <c r="A173" s="6"/>
      <c r="B173" s="4"/>
      <c r="F173" s="4"/>
      <c r="G173" s="4"/>
      <c r="H173" s="4"/>
      <c r="I173" s="4"/>
      <c r="J173" s="4"/>
      <c r="K173" s="4"/>
    </row>
    <row r="174" spans="1:12" x14ac:dyDescent="0.2">
      <c r="A174" s="4" t="s">
        <v>177</v>
      </c>
      <c r="B174" s="4"/>
      <c r="F174" s="4">
        <f>(8*25)</f>
        <v>200</v>
      </c>
      <c r="G174" s="4">
        <v>8</v>
      </c>
      <c r="H174" s="4" t="s">
        <v>163</v>
      </c>
      <c r="I174" s="4" t="s">
        <v>83</v>
      </c>
      <c r="J174" s="4"/>
      <c r="K174" s="4"/>
    </row>
    <row r="175" spans="1:12" x14ac:dyDescent="0.2">
      <c r="A175" s="1" t="s">
        <v>79</v>
      </c>
      <c r="F175" s="1">
        <f>(25*G175)</f>
        <v>625</v>
      </c>
      <c r="G175" s="1">
        <v>25</v>
      </c>
      <c r="H175" s="1" t="s">
        <v>163</v>
      </c>
      <c r="I175" s="4" t="s">
        <v>83</v>
      </c>
      <c r="J175" s="4"/>
      <c r="K175" s="4"/>
    </row>
    <row r="176" spans="1:12" x14ac:dyDescent="0.2">
      <c r="A176" s="1" t="s">
        <v>80</v>
      </c>
      <c r="F176" s="1">
        <f t="shared" ref="F176:F177" si="6">(25*G176)</f>
        <v>1625</v>
      </c>
      <c r="G176" s="1">
        <v>65</v>
      </c>
      <c r="H176" s="1" t="s">
        <v>163</v>
      </c>
      <c r="I176" s="1" t="s">
        <v>83</v>
      </c>
    </row>
    <row r="177" spans="1:11" x14ac:dyDescent="0.2">
      <c r="A177" s="1" t="s">
        <v>162</v>
      </c>
      <c r="F177" s="1">
        <f t="shared" si="6"/>
        <v>1625</v>
      </c>
      <c r="G177" s="1">
        <v>65</v>
      </c>
      <c r="H177" s="1" t="s">
        <v>163</v>
      </c>
      <c r="I177" s="1" t="s">
        <v>83</v>
      </c>
    </row>
    <row r="178" spans="1:11" x14ac:dyDescent="0.2">
      <c r="A178" s="29" t="s">
        <v>167</v>
      </c>
      <c r="B178" s="29"/>
      <c r="C178" s="29"/>
      <c r="D178" s="29"/>
      <c r="E178" s="29"/>
      <c r="F178" s="29">
        <f>SUM(F174:F177)</f>
        <v>4075</v>
      </c>
      <c r="G178" s="28"/>
    </row>
    <row r="180" spans="1:11" x14ac:dyDescent="0.2">
      <c r="A180" s="1" t="s">
        <v>38</v>
      </c>
      <c r="B180" s="4"/>
      <c r="C180" s="4"/>
      <c r="D180" s="4"/>
      <c r="E180" s="4"/>
      <c r="F180" s="4">
        <v>100</v>
      </c>
      <c r="I180" s="1" t="s">
        <v>83</v>
      </c>
    </row>
    <row r="181" spans="1:11" x14ac:dyDescent="0.2">
      <c r="A181" s="1" t="s">
        <v>60</v>
      </c>
      <c r="F181" s="1">
        <v>50</v>
      </c>
      <c r="I181" s="1" t="s">
        <v>83</v>
      </c>
    </row>
    <row r="182" spans="1:11" x14ac:dyDescent="0.2">
      <c r="A182" s="1" t="s">
        <v>164</v>
      </c>
      <c r="F182" s="1">
        <v>200</v>
      </c>
      <c r="I182" s="1" t="s">
        <v>83</v>
      </c>
    </row>
    <row r="183" spans="1:11" x14ac:dyDescent="0.2">
      <c r="A183" s="12" t="s">
        <v>44</v>
      </c>
      <c r="B183" s="12"/>
      <c r="C183" s="12"/>
      <c r="D183" s="12"/>
      <c r="E183" s="12"/>
      <c r="F183" s="12">
        <f>SUM(F178:F182)</f>
        <v>4425</v>
      </c>
      <c r="G183" s="12"/>
      <c r="H183" s="12"/>
      <c r="I183" s="12"/>
      <c r="J183" s="12"/>
      <c r="K183" s="12"/>
    </row>
    <row r="184" spans="1:1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x14ac:dyDescent="0.2">
      <c r="A185" s="5" t="s">
        <v>22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">
      <c r="A186" s="6" t="s">
        <v>165</v>
      </c>
      <c r="B186" s="4"/>
      <c r="C186" s="6">
        <f>(F12+F13+F14)*0.1</f>
        <v>2955</v>
      </c>
      <c r="D186" s="4"/>
      <c r="E186" s="4"/>
      <c r="F186" s="6" t="s">
        <v>81</v>
      </c>
      <c r="G186" s="4"/>
      <c r="H186" s="4"/>
      <c r="I186" s="4"/>
      <c r="J186" s="4"/>
      <c r="K186" s="4"/>
    </row>
    <row r="187" spans="1:11" x14ac:dyDescent="0.2">
      <c r="A187" s="6"/>
      <c r="B187" s="4"/>
      <c r="C187" s="4"/>
      <c r="D187" s="6"/>
      <c r="E187" s="2"/>
      <c r="F187" s="4"/>
      <c r="G187" s="4"/>
      <c r="H187" s="4"/>
      <c r="I187" s="4"/>
      <c r="J187" s="4"/>
      <c r="K187" s="4"/>
    </row>
    <row r="188" spans="1:11" x14ac:dyDescent="0.2">
      <c r="A188" s="1" t="s">
        <v>24</v>
      </c>
      <c r="B188" s="4"/>
      <c r="C188" s="4"/>
      <c r="D188" s="6"/>
      <c r="F188" s="1">
        <f>(20*40)</f>
        <v>800</v>
      </c>
      <c r="G188" s="1">
        <v>20</v>
      </c>
      <c r="H188" s="4" t="s">
        <v>163</v>
      </c>
      <c r="I188" s="4" t="s">
        <v>83</v>
      </c>
      <c r="J188" s="4"/>
      <c r="K188" s="4"/>
    </row>
    <row r="189" spans="1:11" x14ac:dyDescent="0.2">
      <c r="A189" s="1" t="s">
        <v>59</v>
      </c>
      <c r="B189" s="6"/>
      <c r="C189" s="6"/>
      <c r="F189" s="1">
        <f>(40*25)</f>
        <v>1000</v>
      </c>
      <c r="G189" s="1">
        <v>40</v>
      </c>
      <c r="H189" s="6" t="s">
        <v>163</v>
      </c>
      <c r="I189" s="6" t="s">
        <v>83</v>
      </c>
      <c r="J189" s="6"/>
      <c r="K189" s="6"/>
    </row>
    <row r="190" spans="1:11" x14ac:dyDescent="0.2">
      <c r="A190" s="29" t="s">
        <v>167</v>
      </c>
      <c r="B190" s="29"/>
      <c r="C190" s="29"/>
      <c r="D190" s="29"/>
      <c r="E190" s="29"/>
      <c r="F190" s="29">
        <f>SUM(F188:F189)</f>
        <v>1800</v>
      </c>
      <c r="H190" s="6"/>
      <c r="I190" s="6"/>
      <c r="J190" s="6"/>
      <c r="K190" s="6"/>
    </row>
    <row r="191" spans="1:11" x14ac:dyDescent="0.2">
      <c r="B191" s="6"/>
      <c r="C191" s="6"/>
      <c r="H191" s="6"/>
      <c r="I191" s="6"/>
      <c r="J191" s="6"/>
      <c r="K191" s="6"/>
    </row>
    <row r="192" spans="1:11" x14ac:dyDescent="0.2">
      <c r="A192" s="1" t="s">
        <v>25</v>
      </c>
      <c r="F192" s="1">
        <v>70</v>
      </c>
    </row>
    <row r="193" spans="1:11" x14ac:dyDescent="0.2">
      <c r="A193" s="1" t="s">
        <v>26</v>
      </c>
      <c r="F193" s="1">
        <v>100</v>
      </c>
    </row>
    <row r="194" spans="1:11" x14ac:dyDescent="0.2">
      <c r="A194" s="1" t="s">
        <v>27</v>
      </c>
      <c r="F194" s="1">
        <v>100</v>
      </c>
    </row>
    <row r="195" spans="1:11" x14ac:dyDescent="0.2">
      <c r="A195" s="1" t="s">
        <v>46</v>
      </c>
      <c r="F195" s="1">
        <v>885</v>
      </c>
      <c r="G195" s="1">
        <f>(F12+F13+F14)*0.03</f>
        <v>886.5</v>
      </c>
    </row>
    <row r="196" spans="1:11" x14ac:dyDescent="0.2">
      <c r="A196" s="29" t="s">
        <v>179</v>
      </c>
      <c r="B196" s="29"/>
      <c r="C196" s="29"/>
      <c r="D196" s="29"/>
      <c r="E196" s="29"/>
      <c r="F196" s="29">
        <f>SUM(F192:F195)</f>
        <v>1155</v>
      </c>
      <c r="I196" s="1" t="s">
        <v>83</v>
      </c>
    </row>
    <row r="198" spans="1:11" x14ac:dyDescent="0.2">
      <c r="A198" s="12" t="s">
        <v>4</v>
      </c>
      <c r="B198" s="12"/>
      <c r="C198" s="12"/>
      <c r="D198" s="12"/>
      <c r="E198" s="12"/>
      <c r="F198" s="12">
        <f>(F190+F196)</f>
        <v>2955</v>
      </c>
      <c r="G198" s="14"/>
      <c r="H198" s="14"/>
      <c r="I198" s="14"/>
      <c r="J198" s="14"/>
      <c r="K198" s="14"/>
    </row>
    <row r="200" spans="1:11" x14ac:dyDescent="0.2">
      <c r="A200" s="18" t="s">
        <v>37</v>
      </c>
      <c r="B200" s="19"/>
      <c r="C200" s="19"/>
      <c r="D200" s="19"/>
      <c r="E200" s="19"/>
      <c r="F200" s="19"/>
      <c r="G200" s="18" t="s">
        <v>168</v>
      </c>
      <c r="H200" s="19"/>
      <c r="I200" s="19"/>
      <c r="J200" s="19"/>
      <c r="K200" s="19"/>
    </row>
    <row r="201" spans="1:11" x14ac:dyDescent="0.2">
      <c r="A201" s="2" t="s">
        <v>39</v>
      </c>
      <c r="B201" s="6"/>
      <c r="C201" s="6"/>
      <c r="D201" s="2" t="s">
        <v>40</v>
      </c>
      <c r="E201" s="2"/>
      <c r="F201" s="2" t="s">
        <v>41</v>
      </c>
      <c r="G201" s="2"/>
      <c r="H201" s="4"/>
      <c r="I201" s="4"/>
      <c r="J201" s="4"/>
      <c r="K201" s="4"/>
    </row>
    <row r="202" spans="1:11" x14ac:dyDescent="0.2">
      <c r="G202" s="1">
        <f>(1562*0.5)</f>
        <v>781</v>
      </c>
      <c r="I202" s="4"/>
      <c r="K202" s="1" t="s">
        <v>83</v>
      </c>
    </row>
    <row r="203" spans="1:11" x14ac:dyDescent="0.2">
      <c r="A203" s="2" t="s">
        <v>42</v>
      </c>
      <c r="B203" s="2"/>
      <c r="C203" s="2"/>
      <c r="D203" s="2" t="s">
        <v>43</v>
      </c>
      <c r="E203" s="2"/>
      <c r="F203" s="2" t="s">
        <v>169</v>
      </c>
    </row>
    <row r="205" spans="1:11" x14ac:dyDescent="0.2">
      <c r="B205" s="1" t="s">
        <v>75</v>
      </c>
      <c r="D205" s="1">
        <f>(H142)</f>
        <v>23880</v>
      </c>
      <c r="F205" s="1">
        <v>1.36</v>
      </c>
      <c r="G205" s="1">
        <f>(D205*F205)/100</f>
        <v>324.76800000000003</v>
      </c>
    </row>
    <row r="206" spans="1:11" x14ac:dyDescent="0.2">
      <c r="B206" s="1" t="s">
        <v>61</v>
      </c>
      <c r="D206" s="1">
        <f>(H162)</f>
        <v>3050</v>
      </c>
      <c r="F206" s="1">
        <v>1.36</v>
      </c>
      <c r="G206" s="1">
        <f t="shared" ref="G206:G207" si="7">(D206*F206)/100</f>
        <v>41.48</v>
      </c>
    </row>
    <row r="207" spans="1:11" x14ac:dyDescent="0.2">
      <c r="B207" s="1" t="s">
        <v>77</v>
      </c>
      <c r="D207" s="1">
        <f>(F178+F190)</f>
        <v>5875</v>
      </c>
      <c r="F207" s="1">
        <v>1.36</v>
      </c>
      <c r="G207" s="1">
        <f t="shared" si="7"/>
        <v>79.900000000000006</v>
      </c>
    </row>
    <row r="208" spans="1:11" x14ac:dyDescent="0.2">
      <c r="A208" s="29" t="s">
        <v>178</v>
      </c>
      <c r="B208" s="29"/>
      <c r="C208" s="29"/>
      <c r="D208" s="29"/>
      <c r="E208" s="29"/>
      <c r="F208" s="29"/>
      <c r="G208" s="29">
        <f>SUM(G205:G207)</f>
        <v>446.14800000000002</v>
      </c>
    </row>
    <row r="209" spans="1:11" x14ac:dyDescent="0.2">
      <c r="I209" s="2"/>
    </row>
    <row r="210" spans="1:11" x14ac:dyDescent="0.2">
      <c r="B210" s="2"/>
      <c r="H210" s="2"/>
    </row>
    <row r="211" spans="1:11" x14ac:dyDescent="0.2">
      <c r="A211" s="12" t="s">
        <v>4</v>
      </c>
      <c r="B211" s="12"/>
      <c r="C211" s="12"/>
      <c r="D211" s="12"/>
      <c r="E211" s="12"/>
      <c r="F211" s="12"/>
      <c r="G211" s="12">
        <f>(G202+G208)</f>
        <v>1227.1480000000001</v>
      </c>
      <c r="H211" s="12"/>
      <c r="I211" s="12">
        <f>(I202+I209)</f>
        <v>0</v>
      </c>
      <c r="J211" s="14"/>
      <c r="K211" s="14"/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0DF01-07D0-42A9-AFC7-7C5995B015DA}">
  <dimension ref="A1:H7"/>
  <sheetViews>
    <sheetView workbookViewId="0">
      <selection activeCell="G5" sqref="G5"/>
    </sheetView>
  </sheetViews>
  <sheetFormatPr baseColWidth="10" defaultRowHeight="15" x14ac:dyDescent="0.25"/>
  <sheetData>
    <row r="1" spans="1:8" ht="21" x14ac:dyDescent="0.35">
      <c r="A1" s="23" t="s">
        <v>49</v>
      </c>
      <c r="B1" s="21"/>
      <c r="C1" s="21"/>
      <c r="D1" s="21"/>
    </row>
    <row r="3" spans="1:8" x14ac:dyDescent="0.25">
      <c r="A3" t="s">
        <v>155</v>
      </c>
      <c r="G3" t="s">
        <v>155</v>
      </c>
    </row>
    <row r="4" spans="1:8" x14ac:dyDescent="0.25">
      <c r="A4" t="s">
        <v>156</v>
      </c>
      <c r="G4" t="s">
        <v>159</v>
      </c>
    </row>
    <row r="5" spans="1:8" x14ac:dyDescent="0.25">
      <c r="A5" t="s">
        <v>157</v>
      </c>
      <c r="G5" t="s">
        <v>157</v>
      </c>
    </row>
    <row r="6" spans="1:8" x14ac:dyDescent="0.25">
      <c r="A6" s="21"/>
      <c r="B6" s="21"/>
      <c r="C6" s="21"/>
      <c r="D6" s="21"/>
      <c r="E6" s="21"/>
      <c r="F6" s="21"/>
      <c r="G6" s="21"/>
      <c r="H6" s="21"/>
    </row>
    <row r="7" spans="1:8" x14ac:dyDescent="0.25">
      <c r="A7" s="2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Détails budget</vt:lpstr>
      <vt:lpstr>Soumissions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gaulin</dc:creator>
  <cp:lastModifiedBy>karine gaulin</cp:lastModifiedBy>
  <dcterms:created xsi:type="dcterms:W3CDTF">2018-11-12T21:18:45Z</dcterms:created>
  <dcterms:modified xsi:type="dcterms:W3CDTF">2021-10-19T17:27:00Z</dcterms:modified>
</cp:coreProperties>
</file>